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D9" i="13" l="1"/>
  <c r="C19" i="12"/>
  <c r="C10" i="12"/>
  <c r="B21" i="12"/>
  <c r="B10" i="12"/>
  <c r="I197" i="1"/>
  <c r="J197" i="1"/>
  <c r="J604" i="1"/>
  <c r="H604" i="1"/>
  <c r="J233" i="1"/>
  <c r="I233" i="1"/>
  <c r="G521" i="1"/>
  <c r="F521" i="1"/>
  <c r="G523" i="1"/>
  <c r="F523" i="1"/>
  <c r="H533" i="1" l="1"/>
  <c r="H531" i="1"/>
  <c r="K320" i="1" l="1"/>
  <c r="G282" i="1"/>
  <c r="F282" i="1"/>
  <c r="G320" i="1"/>
  <c r="F320" i="1"/>
  <c r="K282" i="1"/>
  <c r="H282" i="1"/>
  <c r="H283" i="1"/>
  <c r="I281" i="1"/>
  <c r="J276" i="1"/>
  <c r="I276" i="1"/>
  <c r="I314" i="1"/>
  <c r="F472" i="1"/>
  <c r="F468" i="1"/>
  <c r="H276" i="1"/>
  <c r="H255" i="1"/>
  <c r="H244" i="1"/>
  <c r="H243" i="1"/>
  <c r="H241" i="1"/>
  <c r="H240" i="1"/>
  <c r="H239" i="1"/>
  <c r="H238" i="1"/>
  <c r="H236" i="1"/>
  <c r="H233" i="1"/>
  <c r="H208" i="1"/>
  <c r="H207" i="1"/>
  <c r="H205" i="1"/>
  <c r="H204" i="1"/>
  <c r="K203" i="1"/>
  <c r="H203" i="1"/>
  <c r="H202" i="1"/>
  <c r="H200" i="1"/>
  <c r="G200" i="1"/>
  <c r="H197" i="1"/>
  <c r="F109" i="1"/>
  <c r="F28" i="1"/>
  <c r="F50" i="1"/>
  <c r="F29" i="1"/>
  <c r="H368" i="1"/>
  <c r="F368" i="1"/>
  <c r="I360" i="1"/>
  <c r="H360" i="1"/>
  <c r="J358" i="1"/>
  <c r="I358" i="1"/>
  <c r="H358" i="1"/>
  <c r="G48" i="1"/>
  <c r="G24" i="1"/>
  <c r="H155" i="1"/>
  <c r="H29" i="1"/>
  <c r="H23" i="1"/>
  <c r="H28" i="1"/>
  <c r="H24" i="1"/>
  <c r="H396" i="1"/>
  <c r="H400" i="1"/>
  <c r="H3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D5" i="13" s="1"/>
  <c r="C5" i="13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L524" i="1"/>
  <c r="L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G164" i="2"/>
  <c r="C18" i="2"/>
  <c r="C26" i="10"/>
  <c r="L328" i="1"/>
  <c r="L351" i="1"/>
  <c r="A31" i="12"/>
  <c r="C70" i="2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C22" i="13" s="1"/>
  <c r="H25" i="13"/>
  <c r="C25" i="13" s="1"/>
  <c r="H571" i="1"/>
  <c r="L560" i="1"/>
  <c r="J545" i="1"/>
  <c r="H338" i="1"/>
  <c r="H352" i="1" s="1"/>
  <c r="G192" i="1"/>
  <c r="H192" i="1"/>
  <c r="F552" i="1"/>
  <c r="C35" i="10"/>
  <c r="L309" i="1"/>
  <c r="E16" i="13"/>
  <c r="C16" i="13" s="1"/>
  <c r="J655" i="1"/>
  <c r="L570" i="1"/>
  <c r="I571" i="1"/>
  <c r="J636" i="1"/>
  <c r="G36" i="2"/>
  <c r="L565" i="1"/>
  <c r="H545" i="1"/>
  <c r="K551" i="1"/>
  <c r="C138" i="2"/>
  <c r="H33" i="13"/>
  <c r="J651" i="1" l="1"/>
  <c r="K598" i="1"/>
  <c r="G647" i="1" s="1"/>
  <c r="K552" i="1"/>
  <c r="K338" i="1"/>
  <c r="K352" i="1" s="1"/>
  <c r="L290" i="1"/>
  <c r="L338" i="1" s="1"/>
  <c r="L352" i="1" s="1"/>
  <c r="G633" i="1" s="1"/>
  <c r="J633" i="1" s="1"/>
  <c r="F476" i="1"/>
  <c r="H622" i="1" s="1"/>
  <c r="J338" i="1"/>
  <c r="J352" i="1" s="1"/>
  <c r="E119" i="2"/>
  <c r="F338" i="1"/>
  <c r="F352" i="1" s="1"/>
  <c r="E122" i="2"/>
  <c r="C19" i="10"/>
  <c r="J640" i="1"/>
  <c r="C124" i="2"/>
  <c r="C20" i="10"/>
  <c r="C18" i="10"/>
  <c r="C17" i="10"/>
  <c r="C16" i="10"/>
  <c r="D6" i="13"/>
  <c r="C6" i="13" s="1"/>
  <c r="C15" i="10"/>
  <c r="K257" i="1"/>
  <c r="K271" i="1" s="1"/>
  <c r="C13" i="10"/>
  <c r="C11" i="10"/>
  <c r="L247" i="1"/>
  <c r="H660" i="1" s="1"/>
  <c r="J257" i="1"/>
  <c r="J271" i="1" s="1"/>
  <c r="I257" i="1"/>
  <c r="I271" i="1" s="1"/>
  <c r="H257" i="1"/>
  <c r="H271" i="1" s="1"/>
  <c r="G257" i="1"/>
  <c r="G271" i="1" s="1"/>
  <c r="F257" i="1"/>
  <c r="F271" i="1" s="1"/>
  <c r="C10" i="10"/>
  <c r="C121" i="2"/>
  <c r="C109" i="2"/>
  <c r="C115" i="2" s="1"/>
  <c r="D15" i="13"/>
  <c r="C15" i="13" s="1"/>
  <c r="G649" i="1"/>
  <c r="J649" i="1" s="1"/>
  <c r="H647" i="1"/>
  <c r="C21" i="10"/>
  <c r="F662" i="1"/>
  <c r="I662" i="1" s="1"/>
  <c r="D14" i="13"/>
  <c r="C14" i="13" s="1"/>
  <c r="C123" i="2"/>
  <c r="E8" i="13"/>
  <c r="C8" i="13" s="1"/>
  <c r="C120" i="2"/>
  <c r="C119" i="2"/>
  <c r="L211" i="1"/>
  <c r="G476" i="1"/>
  <c r="H623" i="1" s="1"/>
  <c r="J623" i="1" s="1"/>
  <c r="C81" i="2"/>
  <c r="C62" i="2"/>
  <c r="C63" i="2" s="1"/>
  <c r="J622" i="1"/>
  <c r="J617" i="1"/>
  <c r="J634" i="1"/>
  <c r="F661" i="1"/>
  <c r="G661" i="1"/>
  <c r="L362" i="1"/>
  <c r="C27" i="10" s="1"/>
  <c r="D127" i="2"/>
  <c r="D128" i="2" s="1"/>
  <c r="D145" i="2" s="1"/>
  <c r="H661" i="1"/>
  <c r="H52" i="1"/>
  <c r="H619" i="1" s="1"/>
  <c r="J476" i="1"/>
  <c r="H626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J647" i="1" l="1"/>
  <c r="E128" i="2"/>
  <c r="E145" i="2" s="1"/>
  <c r="F660" i="1"/>
  <c r="I660" i="1" s="1"/>
  <c r="D31" i="13"/>
  <c r="C31" i="13" s="1"/>
  <c r="H664" i="1"/>
  <c r="H667" i="1" s="1"/>
  <c r="H648" i="1"/>
  <c r="J648" i="1" s="1"/>
  <c r="C28" i="10"/>
  <c r="D12" i="10" s="1"/>
  <c r="E33" i="13"/>
  <c r="D35" i="13" s="1"/>
  <c r="C128" i="2"/>
  <c r="C145" i="2" s="1"/>
  <c r="L257" i="1"/>
  <c r="L271" i="1" s="1"/>
  <c r="G632" i="1" s="1"/>
  <c r="J632" i="1" s="1"/>
  <c r="C104" i="2"/>
  <c r="G664" i="1"/>
  <c r="G672" i="1" s="1"/>
  <c r="C5" i="10" s="1"/>
  <c r="G635" i="1"/>
  <c r="J635" i="1" s="1"/>
  <c r="I661" i="1"/>
  <c r="H646" i="1"/>
  <c r="J646" i="1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G667" i="1"/>
  <c r="D33" i="13"/>
  <c r="D36" i="13" s="1"/>
  <c r="H672" i="1"/>
  <c r="C6" i="10" s="1"/>
  <c r="I664" i="1"/>
  <c r="I672" i="1" s="1"/>
  <c r="C7" i="10" s="1"/>
  <c r="D15" i="10"/>
  <c r="D16" i="10"/>
  <c r="D19" i="10"/>
  <c r="D26" i="10"/>
  <c r="D11" i="10"/>
  <c r="D22" i="10"/>
  <c r="D27" i="10"/>
  <c r="D17" i="10"/>
  <c r="D24" i="10"/>
  <c r="D20" i="10"/>
  <c r="D10" i="10"/>
  <c r="D25" i="10"/>
  <c r="C30" i="10"/>
  <c r="D23" i="10"/>
  <c r="D13" i="10"/>
  <c r="D21" i="10"/>
  <c r="D18" i="10"/>
  <c r="H656" i="1"/>
  <c r="C41" i="10"/>
  <c r="D38" i="10" s="1"/>
  <c r="F667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<sst xmlns="http://schemas.openxmlformats.org/spreadsheetml/2006/main" count="3955" uniqueCount="913">
  <si>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</si>
  <si>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</si>
  <si>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</si>
  <si>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</si>
  <si>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</si>
  <si>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</si>
  <si>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</si>
  <si>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</si>
  <si>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</si>
  <si>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</si>
  <si>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</si>
  <si>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</si>
  <si>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</si>
  <si>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</si>
  <si>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</si>
  <si>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</si>
  <si>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</si>
  <si>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</si>
  <si>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</si>
  <si>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</si>
  <si>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</si>
  <si>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</si>
  <si>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</si>
  <si>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</si>
  <si>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</si>
  <si>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</si>
  <si>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</si>
  <si>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</si>
  <si>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</si>
  <si>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</si>
  <si>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</si>
  <si>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</si>
  <si>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</si>
  <si>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</si>
  <si>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</si>
  <si>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</si>
  <si>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</si>
  <si>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</si>
  <si>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</si>
  <si>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</si>
  <si>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</si>
  <si>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</si>
  <si>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</si>
  <si>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</si>
  <si>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</si>
  <si>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</si>
  <si>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</si>
  <si>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</si>
  <si>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</si>
  <si>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</si>
  <si>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</si>
  <si>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</si>
  <si>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</si>
  <si>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</si>
  <si>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</si>
  <si>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</si>
  <si>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</si>
  <si>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</si>
  <si>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</si>
  <si>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</si>
  <si>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</si>
  <si>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</si>
  <si>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</si>
  <si>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</si>
  <si>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</si>
  <si>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</si>
  <si>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</si>
  <si>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</si>
  <si>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</si>
  <si>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</si>
  <si>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</si>
  <si>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</si>
  <si>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</si>
  <si>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</si>
  <si>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</si>
  <si>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</si>
  <si>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</si>
  <si>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</si>
  <si>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</si>
  <si>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</si>
  <si>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</si>
  <si>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</si>
  <si>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</si>
  <si>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</si>
  <si>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</si>
  <si>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</si>
  <si>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</si>
  <si>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</si>
  <si>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</si>
  <si>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</si>
  <si>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</si>
  <si>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</si>
  <si>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</si>
  <si>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</si>
  <si>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</si>
  <si>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</si>
  <si>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</si>
  <si>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</si>
  <si>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</si>
  <si>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</si>
  <si>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</si>
  <si>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</si>
  <si>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</si>
  <si>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</si>
  <si>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</si>
  <si>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</si>
  <si>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</si>
  <si>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</si>
  <si>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</si>
  <si>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</si>
  <si>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</si>
  <si>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</si>
  <si>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</si>
  <si>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</si>
  <si>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</si>
  <si>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</si>
  <si>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</si>
  <si>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</si>
  <si>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</si>
  <si>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</si>
  <si>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</si>
  <si>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</si>
  <si>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</si>
  <si>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</si>
  <si>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</si>
  <si>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</si>
  <si>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</si>
  <si>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</si>
  <si>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</si>
  <si>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</si>
  <si>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</si>
  <si>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</si>
  <si>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</si>
  <si>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</si>
  <si>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</si>
  <si>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</si>
  <si>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</si>
  <si>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</si>
  <si>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</si>
  <si>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</si>
  <si>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</si>
  <si>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</si>
  <si>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</si>
  <si>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</si>
  <si>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</si>
  <si>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</si>
  <si>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</si>
  <si>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</si>
  <si>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</si>
  <si>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</si>
  <si>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</si>
  <si>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</si>
  <si>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</si>
  <si>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</si>
  <si>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</si>
  <si>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</si>
  <si>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</si>
  <si>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</si>
  <si>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</si>
  <si>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</si>
  <si>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</si>
  <si>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</si>
  <si>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</si>
  <si>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</si>
  <si>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</si>
  <si>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</si>
  <si>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</si>
  <si>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</si>
  <si>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</si>
  <si>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</si>
  <si>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</si>
  <si>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</si>
  <si>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</si>
  <si>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</si>
  <si>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</si>
  <si>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</si>
  <si>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</si>
  <si>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</si>
  <si>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</si>
  <si>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</si>
  <si>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</si>
  <si>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</si>
  <si>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</si>
  <si>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</si>
  <si>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</si>
  <si>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</si>
  <si>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</si>
  <si>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</si>
  <si>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</si>
  <si>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</si>
  <si>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</si>
  <si>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</si>
  <si>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</si>
  <si>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</si>
  <si>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</si>
  <si>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</si>
  <si>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</si>
  <si>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</si>
  <si>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</si>
  <si>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</si>
  <si>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</si>
  <si>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</si>
  <si>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</si>
  <si>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</si>
  <si>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</si>
  <si>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</si>
  <si>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</si>
  <si>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</si>
  <si>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</si>
  <si>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</si>
  <si>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</si>
  <si>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</si>
  <si>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</si>
  <si>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</si>
  <si>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</si>
  <si>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</si>
  <si>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</si>
  <si>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</si>
  <si>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</si>
  <si>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</si>
  <si>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</si>
  <si>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</si>
  <si>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</si>
  <si>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</si>
  <si>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</si>
  <si>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</si>
  <si>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</si>
  <si>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</si>
  <si>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</si>
  <si>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</si>
  <si>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</si>
  <si>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</si>
  <si>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</si>
  <si>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</si>
  <si>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</si>
  <si>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</si>
  <si>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</si>
  <si>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</si>
  <si>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</si>
  <si>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</si>
  <si>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</si>
  <si>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</si>
  <si>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</si>
  <si>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</si>
  <si>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</si>
  <si>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</si>
  <si>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</si>
  <si>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</si>
  <si>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</si>
  <si>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</si>
  <si>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</si>
  <si>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</si>
  <si>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</si>
  <si>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</si>
  <si>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</si>
  <si>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</si>
  <si>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</si>
  <si>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</si>
  <si>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</si>
  <si>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</si>
  <si>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</si>
  <si>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</si>
  <si>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</si>
  <si>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</si>
  <si>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</si>
  <si>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</si>
  <si>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</si>
  <si>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</si>
  <si>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</si>
  <si>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</si>
  <si>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</si>
  <si>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</si>
  <si>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</si>
  <si>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</si>
  <si>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</si>
  <si>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</si>
  <si>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</si>
  <si>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</si>
  <si>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</si>
  <si>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</si>
  <si>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</si>
  <si>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</si>
  <si>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</si>
  <si>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</si>
  <si>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</si>
  <si>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</si>
  <si>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</si>
  <si>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</si>
  <si>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</si>
  <si>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</si>
  <si>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</si>
  <si>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</si>
  <si>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</si>
  <si>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</si>
  <si>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</si>
  <si>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</si>
  <si>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</si>
  <si>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</si>
  <si>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</si>
  <si>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</si>
  <si>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</si>
  <si>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</si>
  <si>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</si>
  <si>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</si>
  <si>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</si>
  <si>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</si>
  <si>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</si>
  <si>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</si>
  <si>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</si>
  <si>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</si>
  <si>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</si>
  <si>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</si>
  <si>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</si>
  <si>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</si>
  <si>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</si>
  <si>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</si>
  <si>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</si>
  <si>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</si>
  <si>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</si>
  <si>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</si>
  <si>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</si>
  <si>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</si>
  <si>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</si>
  <si>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</si>
  <si>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</si>
  <si>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</si>
  <si>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</si>
  <si>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</si>
  <si>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</si>
  <si>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</si>
  <si>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</si>
  <si>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</si>
  <si>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</si>
  <si>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</si>
  <si>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</si>
  <si>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</si>
  <si>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</si>
  <si>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</si>
  <si>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</si>
  <si>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</si>
  <si>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</si>
  <si>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</si>
  <si>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</si>
  <si>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</si>
  <si>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</si>
  <si>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</si>
  <si>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</si>
  <si>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</si>
  <si>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</si>
  <si>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</si>
  <si>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</si>
  <si>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</si>
  <si>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</si>
  <si>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</si>
  <si>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</si>
  <si>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</si>
  <si>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</si>
  <si>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</si>
  <si>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</si>
  <si>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</si>
  <si>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</si>
  <si>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</si>
  <si>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</si>
  <si>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</si>
  <si>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</si>
  <si>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</si>
  <si>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</si>
  <si>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</si>
  <si>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</si>
  <si>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</si>
  <si>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</si>
  <si>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</si>
  <si>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</si>
  <si>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</si>
  <si>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</si>
  <si>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</si>
  <si>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</si>
  <si>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</si>
  <si>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</si>
  <si>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</si>
  <si>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</si>
  <si>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</si>
  <si>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</si>
  <si>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</si>
  <si>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</si>
  <si>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</si>
  <si>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</si>
  <si>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</si>
  <si>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</si>
  <si>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</si>
  <si>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</si>
  <si>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</si>
  <si>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</si>
  <si>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</si>
  <si>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</si>
  <si>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</si>
  <si>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</si>
  <si>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</si>
  <si>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</si>
  <si>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</si>
  <si>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</si>
  <si>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</si>
  <si>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</si>
  <si>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</si>
  <si>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</si>
  <si>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</si>
  <si>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</si>
  <si>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</si>
  <si>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</si>
  <si>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</si>
  <si>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</si>
  <si>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</si>
  <si>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</si>
  <si>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</si>
  <si>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</si>
  <si>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</si>
  <si>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</si>
  <si>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</si>
  <si>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</si>
  <si>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</si>
  <si>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</si>
  <si>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</si>
  <si>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</si>
  <si>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</si>
  <si>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</si>
  <si>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</si>
  <si>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</si>
  <si>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</si>
  <si>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</si>
  <si>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</si>
  <si>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</si>
  <si>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</si>
  <si>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</si>
  <si>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</si>
  <si>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</si>
  <si>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</si>
  <si>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</si>
  <si>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</si>
  <si>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</si>
  <si>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</si>
  <si>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</si>
  <si>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</si>
  <si>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</si>
  <si>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</si>
  <si>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</si>
  <si>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</si>
  <si>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</si>
  <si>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</si>
  <si>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</si>
  <si>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</si>
  <si>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</si>
  <si>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</si>
  <si>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</si>
  <si>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</si>
  <si>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</si>
  <si>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</si>
  <si>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</si>
  <si>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</si>
  <si>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</si>
  <si>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</si>
  <si>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</si>
  <si>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</si>
  <si>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</si>
  <si>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</si>
  <si>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</si>
  <si>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</si>
  <si>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</si>
  <si>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</si>
  <si>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</si>
  <si>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</si>
  <si>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</si>
  <si>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</si>
  <si>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</si>
  <si>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</si>
  <si>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</si>
  <si>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</si>
  <si>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</si>
  <si>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</si>
  <si>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</si>
  <si>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</si>
  <si>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</si>
  <si>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</si>
  <si>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</si>
  <si>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</si>
  <si>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</si>
  <si>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</si>
  <si>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</si>
  <si>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</si>
  <si>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</si>
  <si>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</si>
  <si>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</si>
  <si>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</si>
  <si>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</si>
  <si>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</si>
  <si>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</si>
  <si>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</si>
  <si>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</si>
  <si>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</si>
  <si>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</si>
  <si>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</si>
  <si>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</si>
  <si>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</si>
  <si>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</si>
  <si>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</si>
  <si>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</si>
  <si>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</si>
  <si>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</si>
  <si>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</si>
  <si>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</si>
  <si>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</si>
  <si>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</si>
  <si>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</si>
  <si>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</si>
  <si>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</si>
  <si>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</si>
  <si>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</si>
  <si>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</si>
  <si>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</si>
  <si>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</si>
  <si>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</si>
  <si>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</si>
  <si>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</si>
  <si>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</si>
  <si>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</si>
  <si>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</si>
  <si>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</si>
  <si>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</si>
  <si>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</si>
  <si>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</si>
  <si>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</si>
  <si>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</si>
  <si>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</si>
  <si>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</si>
  <si>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</si>
  <si>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</si>
  <si>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</si>
  <si>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</si>
  <si>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</si>
  <si>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</si>
  <si>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</si>
  <si>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</si>
  <si>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</si>
  <si>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</si>
  <si>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</si>
  <si>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</si>
  <si>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</si>
  <si>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</si>
  <si>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</si>
  <si>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</si>
  <si>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</si>
  <si>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</si>
  <si>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</si>
  <si>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</si>
  <si>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</si>
  <si>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</si>
  <si>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</si>
  <si>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</si>
  <si>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</si>
  <si>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</si>
  <si>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</si>
  <si>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</si>
  <si>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</si>
  <si>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</si>
  <si>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</si>
  <si>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</si>
  <si>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</si>
  <si>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</si>
  <si>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</si>
  <si>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</si>
  <si>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</si>
  <si>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</si>
  <si>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</si>
  <si>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</si>
  <si>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</si>
  <si>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</si>
  <si>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</si>
  <si>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</si>
  <si>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</si>
  <si>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</si>
  <si>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</si>
  <si>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</si>
  <si>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</si>
  <si>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</si>
  <si>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</si>
  <si>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</si>
  <si>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</si>
  <si>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</si>
  <si>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</si>
  <si>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</si>
  <si>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</si>
  <si>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</si>
  <si>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</si>
  <si>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</si>
  <si>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</si>
  <si>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</si>
  <si>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</si>
  <si>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</si>
  <si>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</si>
  <si>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</si>
  <si>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</si>
  <si>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</si>
  <si>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</si>
  <si>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</si>
  <si>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</si>
  <si>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</si>
  <si>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</si>
  <si>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</si>
  <si>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</si>
  <si>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</si>
  <si>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</si>
  <si>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</si>
  <si>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</si>
  <si>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</si>
  <si>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</si>
  <si>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</si>
  <si>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</si>
  <si>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</si>
  <si>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</si>
  <si>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</si>
  <si>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</si>
  <si>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</si>
  <si>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</si>
  <si>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</si>
  <si>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</si>
  <si>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</si>
  <si>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</si>
  <si>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</si>
  <si>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</si>
  <si>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</si>
  <si>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</si>
  <si>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</si>
  <si>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</si>
  <si>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</si>
  <si>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</si>
  <si>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</si>
  <si>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</si>
  <si>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</si>
  <si>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</si>
  <si>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</si>
  <si>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</si>
  <si>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</si>
  <si>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</si>
  <si>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</si>
  <si>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</si>
  <si>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</si>
  <si>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</si>
  <si>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</si>
  <si>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</si>
  <si>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</si>
  <si>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</si>
  <si>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</si>
  <si>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</si>
  <si>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</si>
  <si>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</si>
  <si>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</si>
  <si>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</si>
  <si>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</si>
  <si>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</si>
  <si>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</si>
  <si>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</si>
  <si>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</si>
  <si>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</si>
  <si>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</si>
  <si>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</si>
  <si>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</si>
  <si>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</si>
  <si>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</si>
  <si>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</si>
  <si>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</si>
  <si>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</si>
  <si>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</si>
  <si>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</si>
  <si>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</si>
  <si>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</si>
  <si>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</si>
  <si>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</si>
  <si>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</si>
  <si>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</si>
  <si>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</si>
  <si>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</si>
  <si>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</si>
  <si>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</si>
  <si>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</si>
  <si>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</si>
  <si>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</si>
  <si>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</si>
  <si>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</si>
  <si>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</si>
  <si>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</si>
  <si>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</si>
  <si>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</si>
  <si>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</si>
  <si>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</si>
  <si>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</si>
  <si>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</si>
  <si>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</si>
  <si>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</si>
  <si>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</si>
  <si>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</si>
  <si>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</si>
  <si>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</si>
  <si>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</si>
  <si>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</si>
  <si>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</si>
  <si>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</si>
  <si>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</si>
  <si>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</si>
  <si>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</si>
  <si>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</si>
  <si>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</si>
  <si>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</si>
  <si>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</si>
  <si>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</si>
  <si>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</si>
  <si>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</si>
  <si>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</si>
  <si>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</si>
  <si>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</si>
  <si>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</si>
  <si>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</si>
  <si>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</si>
  <si>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</si>
  <si>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</si>
  <si>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</si>
  <si>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</si>
  <si>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</si>
  <si>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</si>
  <si>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</si>
  <si>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</si>
  <si>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</si>
  <si>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</si>
  <si>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</si>
  <si>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</si>
  <si>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</si>
  <si>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</si>
  <si>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</si>
  <si>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</si>
  <si>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</si>
  <si>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</si>
  <si>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</si>
  <si>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</si>
  <si>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</si>
  <si>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</si>
  <si>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</si>
  <si>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</si>
  <si>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</si>
  <si>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</si>
  <si>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</si>
  <si>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</si>
  <si>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</si>
  <si>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</si>
  <si>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</si>
  <si>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</si>
  <si>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</si>
  <si>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</si>
  <si>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</si>
  <si>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</si>
  <si>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</si>
  <si>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</si>
  <si>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</si>
  <si>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</si>
  <si>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</si>
  <si>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</si>
  <si>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</si>
  <si>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</si>
  <si>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</si>
  <si>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</si>
  <si>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</si>
  <si>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</si>
  <si>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</si>
  <si>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</si>
  <si>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</si>
  <si>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</si>
  <si>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</si>
  <si>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</si>
  <si>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</si>
  <si>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</si>
  <si>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</si>
  <si>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</si>
  <si>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</si>
  <si>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</si>
  <si>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</si>
  <si>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</si>
  <si>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</si>
  <si>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</si>
  <si>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</si>
  <si>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</si>
  <si>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</si>
  <si>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</si>
  <si>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</si>
  <si>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</si>
  <si>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</si>
  <si>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</si>
  <si>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</si>
  <si>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</si>
  <si>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</si>
  <si>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</si>
  <si>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</si>
  <si>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</si>
  <si>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</si>
  <si>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</si>
  <si>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</si>
  <si>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</si>
  <si>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</si>
  <si>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</si>
  <si>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</si>
  <si>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</si>
  <si>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</si>
  <si>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</si>
  <si>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</si>
  <si>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</si>
  <si>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</si>
  <si>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</si>
  <si>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</si>
  <si>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</si>
  <si>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</si>
  <si>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</si>
  <si>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</si>
  <si>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</si>
  <si>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</si>
  <si>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</si>
  <si>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</si>
  <si>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</si>
  <si>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</si>
  <si>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</si>
  <si>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</si>
  <si>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</si>
  <si>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</si>
  <si>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</si>
  <si>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</si>
  <si>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</si>
  <si>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</si>
  <si>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</si>
  <si>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</si>
  <si>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</si>
  <si>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</si>
  <si>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</si>
  <si>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</si>
  <si>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</si>
  <si>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</si>
  <si>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</si>
  <si>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</si>
  <si>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</si>
  <si>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</si>
  <si>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</si>
  <si>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</si>
  <si>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</si>
  <si>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</si>
  <si>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</si>
  <si>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</si>
  <si>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</si>
  <si>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</si>
  <si>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</si>
  <si>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</si>
  <si>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</si>
  <si>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</si>
  <si>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</si>
  <si>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</si>
  <si>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</si>
  <si>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</si>
  <si>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</si>
  <si>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</si>
  <si>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</si>
  <si>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</si>
  <si>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</si>
  <si>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</si>
  <si>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</si>
  <si>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</si>
  <si>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</si>
  <si>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</si>
  <si>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</si>
  <si>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</si>
  <si>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</si>
  <si>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</si>
  <si>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</si>
  <si>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</si>
  <si>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</si>
  <si>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</si>
  <si>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</si>
  <si>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</si>
  <si>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</si>
  <si>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</si>
  <si>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</si>
  <si>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</si>
  <si>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</si>
  <si>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</si>
  <si>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</si>
  <si>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</si>
  <si>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</si>
  <si>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</si>
  <si>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</si>
  <si>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</si>
  <si>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</si>
  <si>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</si>
  <si>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</si>
  <si>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</si>
  <si>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</si>
  <si>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</si>
  <si>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</si>
  <si>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</si>
  <si>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</si>
  <si>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</si>
  <si>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</si>
  <si>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</si>
  <si>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</si>
  <si>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</si>
  <si>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</si>
  <si>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</si>
  <si>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</si>
  <si>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</si>
  <si>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</si>
  <si>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</si>
  <si>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PITTSBURG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</si>
</sst>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437</v>
      </c>
      <c r="C2" s="21">
        <v>437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449429</v>
      </c>
      <c r="G9" s="18">
        <v>21431.39</v>
      </c>
      <c r="H9" s="18"/>
      <c r="I9" s="18"/>
      <c r="J9" s="67">
        <f>SUM(I439)</f>
        <v>586358.53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4983.34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3330.87</v>
      </c>
      <c r="G13" s="18">
        <v>1083.58</v>
      </c>
      <c r="H13" s="18">
        <v>18898.89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305.3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4550.59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457743.21</v>
      </c>
      <c r="G19" s="41">
        <f>SUM(G9:G18)</f>
        <v>27370.86</v>
      </c>
      <c r="H19" s="41">
        <f>SUM(H9:H18)</f>
        <v>18898.89</v>
      </c>
      <c r="I19" s="41">
        <f>SUM(I9:I18)</f>
        <v>0</v>
      </c>
      <c r="J19" s="41">
        <f>SUM(J9:J18)</f>
        <v>586358.53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f>802.46+0.07-4394.46+1087.24+7488.03</f>
        <v>4983.34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16598.32</v>
      </c>
      <c r="G24" s="18">
        <f>7923.24+287.06</f>
        <v>8210.2999999999993</v>
      </c>
      <c r="H24" s="18">
        <f>3897.44+788.91</f>
        <v>4686.3500000000004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9862.91+744.28+1265.62</f>
        <v>11872.810000000001</v>
      </c>
      <c r="G28" s="18"/>
      <c r="H28" s="18">
        <f>1963.5+1904</f>
        <v>3867.5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3117.68</f>
        <v>3117.68</v>
      </c>
      <c r="G29" s="18"/>
      <c r="H29" s="18">
        <f>150.22+340.86+145.64+330.52</f>
        <v>967.24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4394.46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31588.81</v>
      </c>
      <c r="G32" s="41">
        <f>SUM(G22:G31)</f>
        <v>8210.2999999999993</v>
      </c>
      <c r="H32" s="41">
        <f>SUM(H22:H31)</f>
        <v>18898.89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4550.59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13394.89+58761.62-57546.54</f>
        <v>14609.970000000008</v>
      </c>
      <c r="H48" s="18"/>
      <c r="I48" s="18"/>
      <c r="J48" s="13">
        <f>SUM(I459)</f>
        <v>586358.53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351347.74+2578894.2-2504087.54</f>
        <v>426154.40000000037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426154.40000000037</v>
      </c>
      <c r="G51" s="41">
        <f>SUM(G35:G50)</f>
        <v>19160.560000000009</v>
      </c>
      <c r="H51" s="41">
        <f>SUM(H35:H50)</f>
        <v>0</v>
      </c>
      <c r="I51" s="41">
        <f>SUM(I35:I50)</f>
        <v>0</v>
      </c>
      <c r="J51" s="41">
        <f>SUM(J35:J50)</f>
        <v>586358.53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457743.21000000037</v>
      </c>
      <c r="G52" s="41">
        <f>G51+G32</f>
        <v>27370.860000000008</v>
      </c>
      <c r="H52" s="41">
        <f>H51+H32</f>
        <v>18898.89</v>
      </c>
      <c r="I52" s="41">
        <f>I51+I32</f>
        <v>0</v>
      </c>
      <c r="J52" s="41">
        <f>J51+J32</f>
        <v>586358.53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1488264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1488264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448313.26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448313.26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204.96</v>
      </c>
      <c r="G96" s="18"/>
      <c r="H96" s="18"/>
      <c r="I96" s="18"/>
      <c r="J96" s="18">
        <v>3986.26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16311.4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74753.31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95.47</v>
      </c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f>3141.6+1073.71</f>
        <v>4215.3099999999995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1658.52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80927.570000000007</v>
      </c>
      <c r="G111" s="41">
        <f>SUM(G96:G110)</f>
        <v>16311.4</v>
      </c>
      <c r="H111" s="41">
        <f>SUM(H96:H110)</f>
        <v>0</v>
      </c>
      <c r="I111" s="41">
        <f>SUM(I96:I110)</f>
        <v>0</v>
      </c>
      <c r="J111" s="41">
        <f>SUM(J96:J110)</f>
        <v>3986.26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2017504.83</v>
      </c>
      <c r="G112" s="41">
        <f>G60+G111</f>
        <v>16311.4</v>
      </c>
      <c r="H112" s="41">
        <f>H60+H79+H94+H111</f>
        <v>0</v>
      </c>
      <c r="I112" s="41">
        <f>I60+I111</f>
        <v>0</v>
      </c>
      <c r="J112" s="41">
        <f>J60+J111</f>
        <v>3986.26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32257.439999999999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518111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550368.43999999994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602.01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602.01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550368.43999999994</v>
      </c>
      <c r="G140" s="41">
        <f>G121+SUM(G136:G137)</f>
        <v>602.01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>
        <v>3049.93</v>
      </c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3049.93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0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39802.71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6188.12+2770.51</f>
        <v>8958.630000000001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21848.21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1048.93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5516.57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1048.93</v>
      </c>
      <c r="G162" s="41">
        <f>SUM(G150:G161)</f>
        <v>21848.21</v>
      </c>
      <c r="H162" s="41">
        <f>SUM(H150:H161)</f>
        <v>54277.909999999996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5805.31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6854.2400000000007</v>
      </c>
      <c r="G169" s="41">
        <f>G147+G162+SUM(G163:G168)</f>
        <v>21848.21</v>
      </c>
      <c r="H169" s="41">
        <f>H147+H162+SUM(H163:H168)</f>
        <v>57327.839999999997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20000</v>
      </c>
      <c r="H179" s="18"/>
      <c r="I179" s="18"/>
      <c r="J179" s="18">
        <v>35000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35000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9972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9972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9972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35000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2584699.5100000002</v>
      </c>
      <c r="G193" s="47">
        <f>G112+G140+G169+G192</f>
        <v>58761.619999999995</v>
      </c>
      <c r="H193" s="47">
        <f>H112+H140+H169+H192</f>
        <v>57327.839999999997</v>
      </c>
      <c r="I193" s="47">
        <f>I112+I140+I169+I192</f>
        <v>0</v>
      </c>
      <c r="J193" s="47">
        <f>J112+J140+J192</f>
        <v>38986.26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325874.33</v>
      </c>
      <c r="G197" s="18">
        <v>197030.11</v>
      </c>
      <c r="H197" s="18">
        <f>25454.48+1000.19+1524</f>
        <v>27978.67</v>
      </c>
      <c r="I197" s="18">
        <f>14930.2+178.76+3534-19.56</f>
        <v>18623.399999999998</v>
      </c>
      <c r="J197" s="18">
        <f>17676.28+19.56</f>
        <v>17695.84</v>
      </c>
      <c r="K197" s="18"/>
      <c r="L197" s="19">
        <f>SUM(F197:K197)</f>
        <v>587202.35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63138.43</v>
      </c>
      <c r="G198" s="18">
        <v>19356.8</v>
      </c>
      <c r="H198" s="18"/>
      <c r="I198" s="18"/>
      <c r="J198" s="18"/>
      <c r="K198" s="18"/>
      <c r="L198" s="19">
        <f>SUM(F198:K198)</f>
        <v>82495.23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8148</v>
      </c>
      <c r="G200" s="18">
        <f>1309.02</f>
        <v>1309.02</v>
      </c>
      <c r="H200" s="18">
        <f>4321.07+84</f>
        <v>4405.07</v>
      </c>
      <c r="I200" s="18">
        <v>0</v>
      </c>
      <c r="J200" s="18">
        <v>0</v>
      </c>
      <c r="K200" s="18">
        <v>1923.16</v>
      </c>
      <c r="L200" s="19">
        <f>SUM(F200:K200)</f>
        <v>15785.25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48017.16</v>
      </c>
      <c r="G202" s="18">
        <v>14781.99</v>
      </c>
      <c r="H202" s="18">
        <f>35237.99+480.45+1110.6</f>
        <v>36829.039999999994</v>
      </c>
      <c r="I202" s="18">
        <v>1408.65</v>
      </c>
      <c r="J202" s="18">
        <v>4986</v>
      </c>
      <c r="K202" s="18">
        <v>1317.44</v>
      </c>
      <c r="L202" s="19">
        <f t="shared" ref="L202:L208" si="0">SUM(F202:K202)</f>
        <v>107340.28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32269.46</v>
      </c>
      <c r="G203" s="18">
        <v>13770.54</v>
      </c>
      <c r="H203" s="18">
        <f>383.12</f>
        <v>383.12</v>
      </c>
      <c r="I203" s="18">
        <v>1020.5</v>
      </c>
      <c r="J203" s="18"/>
      <c r="K203" s="18">
        <f>1626.45+2695</f>
        <v>4321.45</v>
      </c>
      <c r="L203" s="19">
        <f t="shared" si="0"/>
        <v>51765.07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2116.34</v>
      </c>
      <c r="G204" s="18">
        <v>160.78</v>
      </c>
      <c r="H204" s="18">
        <f>128985.7+6005.95</f>
        <v>134991.65</v>
      </c>
      <c r="I204" s="18">
        <v>317.19</v>
      </c>
      <c r="J204" s="18">
        <v>0</v>
      </c>
      <c r="K204" s="18">
        <v>2337.38</v>
      </c>
      <c r="L204" s="19">
        <f t="shared" si="0"/>
        <v>139923.34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61992.52</v>
      </c>
      <c r="G205" s="18">
        <v>24469</v>
      </c>
      <c r="H205" s="18">
        <f>153.32+3293.62</f>
        <v>3446.94</v>
      </c>
      <c r="I205" s="18">
        <v>2096.2199999999998</v>
      </c>
      <c r="J205" s="18"/>
      <c r="K205" s="18">
        <v>536.54</v>
      </c>
      <c r="L205" s="19">
        <f t="shared" si="0"/>
        <v>92541.219999999987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37097.769999999997</v>
      </c>
      <c r="G207" s="18">
        <v>11726.16</v>
      </c>
      <c r="H207" s="18">
        <f>18963.88+28583.6+5209.06</f>
        <v>52756.539999999994</v>
      </c>
      <c r="I207" s="18">
        <v>47264.33</v>
      </c>
      <c r="J207" s="18">
        <v>3468.78</v>
      </c>
      <c r="K207" s="18">
        <v>477.82</v>
      </c>
      <c r="L207" s="19">
        <f t="shared" si="0"/>
        <v>152791.4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22424.23</v>
      </c>
      <c r="G208" s="18">
        <v>4256.6099999999997</v>
      </c>
      <c r="H208" s="18">
        <f>10545.67+2091.73</f>
        <v>12637.4</v>
      </c>
      <c r="I208" s="18">
        <v>7218</v>
      </c>
      <c r="J208" s="18">
        <v>1951.8</v>
      </c>
      <c r="K208" s="18">
        <v>398.4</v>
      </c>
      <c r="L208" s="19">
        <f t="shared" si="0"/>
        <v>48886.44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3960</v>
      </c>
      <c r="I209" s="18"/>
      <c r="J209" s="18"/>
      <c r="K209" s="18"/>
      <c r="L209" s="19">
        <f>SUM(F209:K209)</f>
        <v>3960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601078.24000000011</v>
      </c>
      <c r="G211" s="41">
        <f t="shared" si="1"/>
        <v>286861.00999999995</v>
      </c>
      <c r="H211" s="41">
        <f t="shared" si="1"/>
        <v>277388.43</v>
      </c>
      <c r="I211" s="41">
        <f t="shared" si="1"/>
        <v>77948.290000000008</v>
      </c>
      <c r="J211" s="41">
        <f t="shared" si="1"/>
        <v>28102.42</v>
      </c>
      <c r="K211" s="41">
        <f t="shared" si="1"/>
        <v>11312.19</v>
      </c>
      <c r="L211" s="41">
        <f t="shared" si="1"/>
        <v>1282690.5799999998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335645.79</v>
      </c>
      <c r="G233" s="18">
        <v>161906.01</v>
      </c>
      <c r="H233" s="18">
        <f>11425.2+669.4+2253</f>
        <v>14347.6</v>
      </c>
      <c r="I233" s="18">
        <f>12156.99+47.43+2045.12</f>
        <v>14249.54</v>
      </c>
      <c r="J233" s="18">
        <f>9294.07-750.11</f>
        <v>8543.9599999999991</v>
      </c>
      <c r="K233" s="18">
        <v>750.11</v>
      </c>
      <c r="L233" s="19">
        <f>SUM(F233:K233)</f>
        <v>535443.00999999989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39888.04</v>
      </c>
      <c r="G234" s="18">
        <v>17673.37</v>
      </c>
      <c r="H234" s="18"/>
      <c r="I234" s="18"/>
      <c r="J234" s="18"/>
      <c r="K234" s="18"/>
      <c r="L234" s="19">
        <f>SUM(F234:K234)</f>
        <v>57561.41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36316</v>
      </c>
      <c r="G236" s="18">
        <v>4627.2</v>
      </c>
      <c r="H236" s="18">
        <f>13918.79+5896.61</f>
        <v>19815.400000000001</v>
      </c>
      <c r="I236" s="18">
        <v>3705.98</v>
      </c>
      <c r="J236" s="18">
        <v>4757.4399999999996</v>
      </c>
      <c r="K236" s="18">
        <v>7292.19</v>
      </c>
      <c r="L236" s="19">
        <f>SUM(F236:K236)</f>
        <v>76514.210000000006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35987.839999999997</v>
      </c>
      <c r="G238" s="18">
        <v>21114.23</v>
      </c>
      <c r="H238" s="18">
        <f>41903.68+320.3+99.4</f>
        <v>42323.380000000005</v>
      </c>
      <c r="I238" s="18">
        <v>1141.95</v>
      </c>
      <c r="J238" s="18">
        <v>15573.87</v>
      </c>
      <c r="K238" s="18">
        <v>1524.39</v>
      </c>
      <c r="L238" s="19">
        <f t="shared" ref="L238:L244" si="4">SUM(F238:K238)</f>
        <v>117665.65999999999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25287.9</v>
      </c>
      <c r="G239" s="18">
        <v>10430.09</v>
      </c>
      <c r="H239" s="18">
        <f>255.41</f>
        <v>255.41</v>
      </c>
      <c r="I239" s="18">
        <v>739.89</v>
      </c>
      <c r="J239" s="18">
        <v>730.55</v>
      </c>
      <c r="K239" s="18">
        <v>1155</v>
      </c>
      <c r="L239" s="19">
        <f t="shared" si="4"/>
        <v>38598.840000000011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2019.86</v>
      </c>
      <c r="G240" s="18">
        <v>155.69</v>
      </c>
      <c r="H240" s="18">
        <f>86003.48+4054.56</f>
        <v>90058.04</v>
      </c>
      <c r="I240" s="18">
        <v>448.37</v>
      </c>
      <c r="J240" s="18"/>
      <c r="K240" s="18">
        <v>1732.22</v>
      </c>
      <c r="L240" s="19">
        <f t="shared" si="4"/>
        <v>94414.18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61929.16</v>
      </c>
      <c r="G241" s="18">
        <v>20548.34</v>
      </c>
      <c r="H241" s="18">
        <f>153.32+2467.79</f>
        <v>2621.11</v>
      </c>
      <c r="I241" s="18">
        <v>1495.38</v>
      </c>
      <c r="J241" s="18"/>
      <c r="K241" s="18">
        <v>263.05</v>
      </c>
      <c r="L241" s="19">
        <f t="shared" si="4"/>
        <v>86857.040000000008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36792.620000000003</v>
      </c>
      <c r="G243" s="18">
        <v>11071.77</v>
      </c>
      <c r="H243" s="18">
        <f>10766.08+19053.41+3309.2</f>
        <v>33128.689999999995</v>
      </c>
      <c r="I243" s="18">
        <v>29137.73</v>
      </c>
      <c r="J243" s="18">
        <v>3411.09</v>
      </c>
      <c r="K243" s="18">
        <v>330.88</v>
      </c>
      <c r="L243" s="19">
        <f t="shared" si="4"/>
        <v>113872.77999999998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28325.81</v>
      </c>
      <c r="G244" s="18">
        <v>4515.51</v>
      </c>
      <c r="H244" s="18">
        <f>7030.45+1343.51</f>
        <v>8373.9599999999991</v>
      </c>
      <c r="I244" s="18">
        <v>4827.7299999999996</v>
      </c>
      <c r="J244" s="18">
        <v>1301.2</v>
      </c>
      <c r="K244" s="18">
        <v>258.93</v>
      </c>
      <c r="L244" s="19">
        <f t="shared" si="4"/>
        <v>47603.139999999992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2640</v>
      </c>
      <c r="I245" s="18"/>
      <c r="J245" s="18"/>
      <c r="K245" s="18"/>
      <c r="L245" s="19">
        <f>SUM(F245:K245)</f>
        <v>2640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602193.02</v>
      </c>
      <c r="G247" s="41">
        <f t="shared" si="5"/>
        <v>252042.21000000002</v>
      </c>
      <c r="H247" s="41">
        <f t="shared" si="5"/>
        <v>213563.59</v>
      </c>
      <c r="I247" s="41">
        <f t="shared" si="5"/>
        <v>55746.569999999992</v>
      </c>
      <c r="J247" s="41">
        <f t="shared" si="5"/>
        <v>34318.109999999993</v>
      </c>
      <c r="K247" s="41">
        <f t="shared" si="5"/>
        <v>13306.769999999997</v>
      </c>
      <c r="L247" s="41">
        <f t="shared" si="5"/>
        <v>1171170.2699999998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619.2+412.8</f>
        <v>1032</v>
      </c>
      <c r="I255" s="18"/>
      <c r="J255" s="18"/>
      <c r="K255" s="18"/>
      <c r="L255" s="19">
        <f t="shared" si="6"/>
        <v>1032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1032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1032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1203271.2600000002</v>
      </c>
      <c r="G257" s="41">
        <f t="shared" si="8"/>
        <v>538903.22</v>
      </c>
      <c r="H257" s="41">
        <f t="shared" si="8"/>
        <v>491984.02</v>
      </c>
      <c r="I257" s="41">
        <f t="shared" si="8"/>
        <v>133694.85999999999</v>
      </c>
      <c r="J257" s="41">
        <f t="shared" si="8"/>
        <v>62420.529999999992</v>
      </c>
      <c r="K257" s="41">
        <f t="shared" si="8"/>
        <v>24618.959999999999</v>
      </c>
      <c r="L257" s="41">
        <f t="shared" si="8"/>
        <v>2454892.8499999996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35000</v>
      </c>
      <c r="L266" s="19">
        <f t="shared" si="9"/>
        <v>35000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55000</v>
      </c>
      <c r="L270" s="41">
        <f t="shared" si="9"/>
        <v>55000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1203271.2600000002</v>
      </c>
      <c r="G271" s="42">
        <f t="shared" si="11"/>
        <v>538903.22</v>
      </c>
      <c r="H271" s="42">
        <f t="shared" si="11"/>
        <v>491984.02</v>
      </c>
      <c r="I271" s="42">
        <f t="shared" si="11"/>
        <v>133694.85999999999</v>
      </c>
      <c r="J271" s="42">
        <f t="shared" si="11"/>
        <v>62420.529999999992</v>
      </c>
      <c r="K271" s="42">
        <f t="shared" si="11"/>
        <v>79618.959999999992</v>
      </c>
      <c r="L271" s="42">
        <f t="shared" si="11"/>
        <v>2509892.8499999996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3593.64</v>
      </c>
      <c r="G276" s="18">
        <v>274.89</v>
      </c>
      <c r="H276" s="18">
        <f>16633.36+612</f>
        <v>17245.36</v>
      </c>
      <c r="I276" s="18">
        <f>2220.88+2240.65</f>
        <v>4461.5300000000007</v>
      </c>
      <c r="J276" s="18">
        <f>793.11+443</f>
        <v>1236.1100000000001</v>
      </c>
      <c r="K276" s="18"/>
      <c r="L276" s="19">
        <f>SUM(F276:K276)</f>
        <v>26811.53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0</v>
      </c>
      <c r="I281" s="18">
        <f>2950</f>
        <v>2950</v>
      </c>
      <c r="J281" s="18"/>
      <c r="K281" s="18">
        <v>500</v>
      </c>
      <c r="L281" s="19">
        <f t="shared" ref="L281:L287" si="12">SUM(F281:K281)</f>
        <v>3450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2439.5+1904</f>
        <v>4343.5</v>
      </c>
      <c r="G282" s="18">
        <f>186.64+415.44+145.64+330.52</f>
        <v>1078.2399999999998</v>
      </c>
      <c r="H282" s="18">
        <f>4818.54+815.94</f>
        <v>5634.48</v>
      </c>
      <c r="I282" s="18"/>
      <c r="J282" s="18">
        <v>0</v>
      </c>
      <c r="K282" s="18">
        <f>1178+1620</f>
        <v>2798</v>
      </c>
      <c r="L282" s="19">
        <f t="shared" si="12"/>
        <v>13854.22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f>3426.64+118</f>
        <v>3544.64</v>
      </c>
      <c r="I283" s="18"/>
      <c r="J283" s="18"/>
      <c r="K283" s="18"/>
      <c r="L283" s="19">
        <f t="shared" si="12"/>
        <v>3544.64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7937.1399999999994</v>
      </c>
      <c r="G290" s="42">
        <f t="shared" si="13"/>
        <v>1353.1299999999997</v>
      </c>
      <c r="H290" s="42">
        <f t="shared" si="13"/>
        <v>26424.48</v>
      </c>
      <c r="I290" s="42">
        <f t="shared" si="13"/>
        <v>7411.5300000000007</v>
      </c>
      <c r="J290" s="42">
        <f t="shared" si="13"/>
        <v>1236.1100000000001</v>
      </c>
      <c r="K290" s="42">
        <f t="shared" si="13"/>
        <v>3298</v>
      </c>
      <c r="L290" s="41">
        <f t="shared" si="13"/>
        <v>47660.39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0</v>
      </c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/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f>2092.55-47.43-2045.12</f>
        <v>0</v>
      </c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>
        <v>5516.57</v>
      </c>
      <c r="L319" s="19">
        <f t="shared" ref="L319:L325" si="16">SUM(F319:K319)</f>
        <v>5516.57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578+212.5</f>
        <v>790.5</v>
      </c>
      <c r="G320" s="18">
        <f>42.04+90.56+15.71+33.3</f>
        <v>181.61</v>
      </c>
      <c r="H320" s="18">
        <v>549.77</v>
      </c>
      <c r="I320" s="18"/>
      <c r="J320" s="18">
        <v>2409</v>
      </c>
      <c r="K320" s="18">
        <f>100+120</f>
        <v>220</v>
      </c>
      <c r="L320" s="19">
        <f t="shared" si="16"/>
        <v>4150.88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790.5</v>
      </c>
      <c r="G328" s="42">
        <f t="shared" si="17"/>
        <v>181.61</v>
      </c>
      <c r="H328" s="42">
        <f t="shared" si="17"/>
        <v>549.77</v>
      </c>
      <c r="I328" s="42">
        <f t="shared" si="17"/>
        <v>0</v>
      </c>
      <c r="J328" s="42">
        <f t="shared" si="17"/>
        <v>2409</v>
      </c>
      <c r="K328" s="42">
        <f t="shared" si="17"/>
        <v>5736.57</v>
      </c>
      <c r="L328" s="41">
        <f t="shared" si="17"/>
        <v>9667.4500000000007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8727.64</v>
      </c>
      <c r="G338" s="41">
        <f t="shared" si="20"/>
        <v>1534.7399999999998</v>
      </c>
      <c r="H338" s="41">
        <f t="shared" si="20"/>
        <v>26974.25</v>
      </c>
      <c r="I338" s="41">
        <f t="shared" si="20"/>
        <v>7411.5300000000007</v>
      </c>
      <c r="J338" s="41">
        <f t="shared" si="20"/>
        <v>3645.11</v>
      </c>
      <c r="K338" s="41">
        <f t="shared" si="20"/>
        <v>9034.57</v>
      </c>
      <c r="L338" s="41">
        <f t="shared" si="20"/>
        <v>57327.839999999997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8727.64</v>
      </c>
      <c r="G352" s="41">
        <f>G338</f>
        <v>1534.7399999999998</v>
      </c>
      <c r="H352" s="41">
        <f>H338</f>
        <v>26974.25</v>
      </c>
      <c r="I352" s="41">
        <f>I338</f>
        <v>7411.5300000000007</v>
      </c>
      <c r="J352" s="41">
        <f>J338</f>
        <v>3645.11</v>
      </c>
      <c r="K352" s="47">
        <f>K338+K351</f>
        <v>9034.57</v>
      </c>
      <c r="L352" s="41">
        <f>L338+L351</f>
        <v>57327.839999999997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413.66+30692.25</f>
        <v>31105.91</v>
      </c>
      <c r="I358" s="18">
        <f>337.52+228.77</f>
        <v>566.29</v>
      </c>
      <c r="J358" s="18">
        <f>2672.92</f>
        <v>2672.92</v>
      </c>
      <c r="K358" s="18">
        <v>60</v>
      </c>
      <c r="L358" s="13">
        <f>SUM(F358:K358)</f>
        <v>34405.120000000003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275.78+20461.5</f>
        <v>20737.28</v>
      </c>
      <c r="I360" s="18">
        <f>75.18+154.34</f>
        <v>229.52</v>
      </c>
      <c r="J360" s="18">
        <v>2134.62</v>
      </c>
      <c r="K360" s="18">
        <v>40</v>
      </c>
      <c r="L360" s="19">
        <f>SUM(F360:K360)</f>
        <v>23141.42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51843.19</v>
      </c>
      <c r="I362" s="47">
        <f t="shared" si="22"/>
        <v>795.81</v>
      </c>
      <c r="J362" s="47">
        <f t="shared" si="22"/>
        <v>4807.54</v>
      </c>
      <c r="K362" s="47">
        <f t="shared" si="22"/>
        <v>100</v>
      </c>
      <c r="L362" s="47">
        <f t="shared" si="22"/>
        <v>57546.54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337.52+228.77</f>
        <v>566.29</v>
      </c>
      <c r="G368" s="63"/>
      <c r="H368" s="63">
        <f>75.18+154.34</f>
        <v>229.52</v>
      </c>
      <c r="I368" s="56">
        <f>SUM(F368:H368)</f>
        <v>795.81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566.29</v>
      </c>
      <c r="G369" s="47">
        <f>SUM(G367:G368)</f>
        <v>0</v>
      </c>
      <c r="H369" s="47">
        <f>SUM(H367:H368)</f>
        <v>229.52</v>
      </c>
      <c r="I369" s="47">
        <f>SUM(I367:I368)</f>
        <v>795.81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</v>
      </c>
      <c r="H396" s="18">
        <f>600.48+23.85+561.48</f>
        <v>1185.81</v>
      </c>
      <c r="I396" s="18"/>
      <c r="J396" s="24" t="s">
        <v>288</v>
      </c>
      <c r="K396" s="24" t="s">
        <v>288</v>
      </c>
      <c r="L396" s="56">
        <f t="shared" si="26"/>
        <v>11185.81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f>615.43</f>
        <v>615.42999999999995</v>
      </c>
      <c r="I398" s="18"/>
      <c r="J398" s="24" t="s">
        <v>288</v>
      </c>
      <c r="K398" s="24" t="s">
        <v>288</v>
      </c>
      <c r="L398" s="56">
        <f t="shared" si="26"/>
        <v>615.42999999999995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99.78</v>
      </c>
      <c r="I399" s="18"/>
      <c r="J399" s="24" t="s">
        <v>288</v>
      </c>
      <c r="K399" s="24" t="s">
        <v>288</v>
      </c>
      <c r="L399" s="56">
        <f t="shared" si="26"/>
        <v>99.78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25000</v>
      </c>
      <c r="H400" s="18">
        <f>46.16+249.05+34.45+0.79+25.38+5.37+1724.04</f>
        <v>2085.2399999999998</v>
      </c>
      <c r="I400" s="18"/>
      <c r="J400" s="24" t="s">
        <v>288</v>
      </c>
      <c r="K400" s="24" t="s">
        <v>288</v>
      </c>
      <c r="L400" s="56">
        <f t="shared" si="26"/>
        <v>27085.239999999998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35000</v>
      </c>
      <c r="H401" s="47">
        <f>SUM(H395:H400)</f>
        <v>3986.2599999999993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38986.259999999995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35000</v>
      </c>
      <c r="H408" s="47">
        <f>H393+H401+H407</f>
        <v>3986.2599999999993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38986.259999999995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30000</v>
      </c>
      <c r="L422" s="56">
        <f t="shared" si="29"/>
        <v>30000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9972</v>
      </c>
      <c r="L426" s="56">
        <f t="shared" si="29"/>
        <v>9972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39972</v>
      </c>
      <c r="L427" s="47">
        <f t="shared" si="30"/>
        <v>39972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39972</v>
      </c>
      <c r="L434" s="47">
        <f t="shared" si="32"/>
        <v>39972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586358.53</v>
      </c>
      <c r="H439" s="18"/>
      <c r="I439" s="56">
        <f t="shared" ref="I439:I445" si="33">SUM(F439:H439)</f>
        <v>586358.53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586358.53</v>
      </c>
      <c r="H446" s="13">
        <f>SUM(H439:H445)</f>
        <v>0</v>
      </c>
      <c r="I446" s="13">
        <f>SUM(I439:I445)</f>
        <v>586358.53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586358.53</v>
      </c>
      <c r="H459" s="18"/>
      <c r="I459" s="56">
        <f t="shared" si="34"/>
        <v>586358.53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586358.53</v>
      </c>
      <c r="H460" s="83">
        <f>SUM(H454:H459)</f>
        <v>0</v>
      </c>
      <c r="I460" s="83">
        <f>SUM(I454:I459)</f>
        <v>586358.53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586358.53</v>
      </c>
      <c r="H461" s="42">
        <f>H452+H460</f>
        <v>0</v>
      </c>
      <c r="I461" s="42">
        <f>I452+I460</f>
        <v>586358.53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351347.74</v>
      </c>
      <c r="G465" s="18">
        <v>15084.8</v>
      </c>
      <c r="H465" s="18"/>
      <c r="I465" s="18"/>
      <c r="J465" s="18">
        <v>587344.27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2578894.2+5805.31</f>
        <v>2584699.5100000002</v>
      </c>
      <c r="G468" s="18">
        <v>58761.62</v>
      </c>
      <c r="H468" s="18">
        <v>57327.839999999997</v>
      </c>
      <c r="I468" s="18"/>
      <c r="J468" s="18">
        <v>38986.26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2860.68</v>
      </c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2584699.5100000002</v>
      </c>
      <c r="G470" s="53">
        <f>SUM(G468:G469)</f>
        <v>61622.3</v>
      </c>
      <c r="H470" s="53">
        <f>SUM(H468:H469)</f>
        <v>57327.839999999997</v>
      </c>
      <c r="I470" s="53">
        <f>SUM(I468:I469)</f>
        <v>0</v>
      </c>
      <c r="J470" s="53">
        <f>SUM(J468:J469)</f>
        <v>38986.26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5805.31+2504087.54</f>
        <v>2509892.85</v>
      </c>
      <c r="G472" s="18">
        <v>57546.54</v>
      </c>
      <c r="H472" s="18">
        <v>57327.839999999997</v>
      </c>
      <c r="I472" s="18"/>
      <c r="J472" s="18">
        <v>39972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0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2509892.85</v>
      </c>
      <c r="G474" s="53">
        <f>SUM(G472:G473)</f>
        <v>57546.54</v>
      </c>
      <c r="H474" s="53">
        <f>SUM(H472:H473)</f>
        <v>57327.839999999997</v>
      </c>
      <c r="I474" s="53">
        <f>SUM(I472:I473)</f>
        <v>0</v>
      </c>
      <c r="J474" s="53">
        <f>SUM(J472:J473)</f>
        <v>39972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426154.39999999991</v>
      </c>
      <c r="G476" s="53">
        <f>(G465+G470)- G474</f>
        <v>19160.560000000005</v>
      </c>
      <c r="H476" s="53">
        <f>(H465+H470)- H474</f>
        <v>0</v>
      </c>
      <c r="I476" s="53">
        <f>(I465+I470)- I474</f>
        <v>0</v>
      </c>
      <c r="J476" s="53">
        <f>(J465+J470)- J474</f>
        <v>586358.53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25219+30842.93+2031.25+5045.25</f>
        <v>63138.43</v>
      </c>
      <c r="G521" s="18">
        <f>10058.79+36.82+4683.59+4278.61+172.99+126</f>
        <v>19356.800000000003</v>
      </c>
      <c r="H521" s="18"/>
      <c r="I521" s="18"/>
      <c r="J521" s="18"/>
      <c r="K521" s="18"/>
      <c r="L521" s="88">
        <f>SUM(F521:K521)</f>
        <v>82495.23000000001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25219+14669.04</f>
        <v>39888.04</v>
      </c>
      <c r="G523" s="18">
        <f>10609.91+40.25+2897.46+3951.96+173.79+2.39</f>
        <v>17675.759999999998</v>
      </c>
      <c r="H523" s="18">
        <v>1862.19</v>
      </c>
      <c r="I523" s="18"/>
      <c r="J523" s="18"/>
      <c r="K523" s="18"/>
      <c r="L523" s="88">
        <f>SUM(F523:K523)</f>
        <v>59425.990000000005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103026.47</v>
      </c>
      <c r="G524" s="108">
        <f t="shared" ref="G524:L524" si="36">SUM(G521:G523)</f>
        <v>37032.559999999998</v>
      </c>
      <c r="H524" s="108">
        <f t="shared" si="36"/>
        <v>1862.19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141921.22000000003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15374.39</v>
      </c>
      <c r="G526" s="18">
        <v>1353.14</v>
      </c>
      <c r="H526" s="18">
        <v>10110.69</v>
      </c>
      <c r="I526" s="18">
        <v>1167.72</v>
      </c>
      <c r="J526" s="18"/>
      <c r="K526" s="18"/>
      <c r="L526" s="88">
        <f>SUM(F526:K526)</f>
        <v>28005.940000000002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15374.39</v>
      </c>
      <c r="G529" s="89">
        <f t="shared" ref="G529:L529" si="37">SUM(G526:G528)</f>
        <v>1353.14</v>
      </c>
      <c r="H529" s="89">
        <f t="shared" si="37"/>
        <v>10110.69</v>
      </c>
      <c r="I529" s="89">
        <f t="shared" si="37"/>
        <v>1167.72</v>
      </c>
      <c r="J529" s="89">
        <f t="shared" si="37"/>
        <v>0</v>
      </c>
      <c r="K529" s="89">
        <f t="shared" si="37"/>
        <v>0</v>
      </c>
      <c r="L529" s="89">
        <f t="shared" si="37"/>
        <v>28005.940000000002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f>11408.57</f>
        <v>11408.57</v>
      </c>
      <c r="I531" s="18"/>
      <c r="J531" s="18"/>
      <c r="K531" s="18"/>
      <c r="L531" s="88">
        <f>SUM(F531:K531)</f>
        <v>11408.57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f>15211.36</f>
        <v>15211.36</v>
      </c>
      <c r="I533" s="18"/>
      <c r="J533" s="18"/>
      <c r="K533" s="18"/>
      <c r="L533" s="88">
        <f>SUM(F533:K533)</f>
        <v>15211.36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26619.93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26619.93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118400.86</v>
      </c>
      <c r="G545" s="89">
        <f t="shared" ref="G545:L545" si="41">G524+G529+G534+G539+G544</f>
        <v>38385.699999999997</v>
      </c>
      <c r="H545" s="89">
        <f t="shared" si="41"/>
        <v>38592.81</v>
      </c>
      <c r="I545" s="89">
        <f t="shared" si="41"/>
        <v>1167.72</v>
      </c>
      <c r="J545" s="89">
        <f t="shared" si="41"/>
        <v>0</v>
      </c>
      <c r="K545" s="89">
        <f t="shared" si="41"/>
        <v>0</v>
      </c>
      <c r="L545" s="89">
        <f t="shared" si="41"/>
        <v>196547.09000000003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82495.23000000001</v>
      </c>
      <c r="G549" s="87">
        <f>L526</f>
        <v>28005.940000000002</v>
      </c>
      <c r="H549" s="87">
        <f>L531</f>
        <v>11408.57</v>
      </c>
      <c r="I549" s="87">
        <f>L536</f>
        <v>0</v>
      </c>
      <c r="J549" s="87">
        <f>L541</f>
        <v>0</v>
      </c>
      <c r="K549" s="87">
        <f>SUM(F549:J549)</f>
        <v>121909.74000000002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59425.990000000005</v>
      </c>
      <c r="G551" s="87">
        <f>L528</f>
        <v>0</v>
      </c>
      <c r="H551" s="87">
        <f>L533</f>
        <v>15211.36</v>
      </c>
      <c r="I551" s="87">
        <f>L538</f>
        <v>0</v>
      </c>
      <c r="J551" s="87">
        <f>L543</f>
        <v>0</v>
      </c>
      <c r="K551" s="87">
        <f>SUM(F551:J551)</f>
        <v>74637.350000000006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141921.22000000003</v>
      </c>
      <c r="G552" s="89">
        <f t="shared" si="42"/>
        <v>28005.940000000002</v>
      </c>
      <c r="H552" s="89">
        <f t="shared" si="42"/>
        <v>26619.93</v>
      </c>
      <c r="I552" s="89">
        <f t="shared" si="42"/>
        <v>0</v>
      </c>
      <c r="J552" s="89">
        <f t="shared" si="42"/>
        <v>0</v>
      </c>
      <c r="K552" s="89">
        <f t="shared" si="42"/>
        <v>196547.09000000003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43010.13</v>
      </c>
      <c r="I591" s="18"/>
      <c r="J591" s="18">
        <v>25236.17</v>
      </c>
      <c r="K591" s="104">
        <f t="shared" ref="K591:K597" si="48">SUM(H591:J591)</f>
        <v>68246.299999999988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2167.81</v>
      </c>
      <c r="I594" s="18"/>
      <c r="J594" s="18">
        <v>19379.27</v>
      </c>
      <c r="K594" s="104">
        <f t="shared" si="48"/>
        <v>21547.08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3708.5</v>
      </c>
      <c r="I595" s="18"/>
      <c r="J595" s="18">
        <v>2987.7</v>
      </c>
      <c r="K595" s="104">
        <f t="shared" si="48"/>
        <v>6696.2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48886.439999999995</v>
      </c>
      <c r="I598" s="108">
        <f>SUM(I591:I597)</f>
        <v>0</v>
      </c>
      <c r="J598" s="108">
        <f>SUM(J591:J597)</f>
        <v>47603.14</v>
      </c>
      <c r="K598" s="108">
        <f>SUM(K591:K597)</f>
        <v>96489.579999999987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31991.89-2672.92</f>
        <v>29318.97</v>
      </c>
      <c r="I604" s="18"/>
      <c r="J604" s="18">
        <f>38881.29-2134.62</f>
        <v>36746.67</v>
      </c>
      <c r="K604" s="104">
        <f>SUM(H604:J604)</f>
        <v>66065.64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29318.97</v>
      </c>
      <c r="I605" s="108">
        <f>SUM(I602:I604)</f>
        <v>0</v>
      </c>
      <c r="J605" s="108">
        <f>SUM(J602:J604)</f>
        <v>36746.67</v>
      </c>
      <c r="K605" s="108">
        <f>SUM(K602:K604)</f>
        <v>66065.64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457743.21</v>
      </c>
      <c r="H617" s="109">
        <f>SUM(F52)</f>
        <v>457743.21000000037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27370.86</v>
      </c>
      <c r="H618" s="109">
        <f>SUM(G52)</f>
        <v>27370.860000000008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18898.89</v>
      </c>
      <c r="H619" s="109">
        <f>SUM(H52)</f>
        <v>18898.89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586358.53</v>
      </c>
      <c r="H621" s="109">
        <f>SUM(J52)</f>
        <v>586358.53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426154.40000000037</v>
      </c>
      <c r="H622" s="109">
        <f>F476</f>
        <v>426154.39999999991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19160.560000000009</v>
      </c>
      <c r="H623" s="109">
        <f>G476</f>
        <v>19160.560000000005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586358.53</v>
      </c>
      <c r="H626" s="109">
        <f>J476</f>
        <v>586358.53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2584699.5100000002</v>
      </c>
      <c r="H627" s="104">
        <f>SUM(F468)</f>
        <v>2584699.5100000002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58761.619999999995</v>
      </c>
      <c r="H628" s="104">
        <f>SUM(G468)</f>
        <v>58761.62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57327.839999999997</v>
      </c>
      <c r="H629" s="104">
        <f>SUM(H468)</f>
        <v>57327.839999999997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38986.26</v>
      </c>
      <c r="H631" s="104">
        <f>SUM(J468)</f>
        <v>38986.26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2509892.8499999996</v>
      </c>
      <c r="H632" s="104">
        <f>SUM(F472)</f>
        <v>2509892.85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57327.839999999997</v>
      </c>
      <c r="H633" s="104">
        <f>SUM(H472)</f>
        <v>57327.839999999997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795.81</v>
      </c>
      <c r="H634" s="104">
        <f>I369</f>
        <v>795.81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57546.54</v>
      </c>
      <c r="H635" s="104">
        <f>SUM(G472)</f>
        <v>57546.54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38986.259999999995</v>
      </c>
      <c r="H637" s="164">
        <f>SUM(J468)</f>
        <v>38986.26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39972</v>
      </c>
      <c r="H638" s="164">
        <f>SUM(J472)</f>
        <v>39972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586358.53</v>
      </c>
      <c r="H640" s="104">
        <f>SUM(G461)</f>
        <v>586358.53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586358.53</v>
      </c>
      <c r="H642" s="104">
        <f>SUM(I461)</f>
        <v>586358.53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3986.26</v>
      </c>
      <c r="H644" s="104">
        <f>H408</f>
        <v>3986.2599999999993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35000</v>
      </c>
      <c r="H645" s="104">
        <f>G408</f>
        <v>35000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38986.26</v>
      </c>
      <c r="H646" s="104">
        <f>L408</f>
        <v>38986.259999999995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96489.579999999987</v>
      </c>
      <c r="H647" s="104">
        <f>L208+L226+L244</f>
        <v>96489.579999999987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66065.64</v>
      </c>
      <c r="H648" s="104">
        <f>(J257+J338)-(J255+J336)</f>
        <v>66065.639999999985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48886.44</v>
      </c>
      <c r="H649" s="104">
        <f>H598</f>
        <v>48886.439999999995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47603.139999999992</v>
      </c>
      <c r="H651" s="104">
        <f>J598</f>
        <v>47603.14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20000</v>
      </c>
      <c r="H652" s="104">
        <f>K263+K345</f>
        <v>20000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35000</v>
      </c>
      <c r="H655" s="104">
        <f>K266+K347</f>
        <v>35000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1364756.0899999999</v>
      </c>
      <c r="G660" s="19">
        <f>(L229+L309+L359)</f>
        <v>0</v>
      </c>
      <c r="H660" s="19">
        <f>(L247+L328+L360)</f>
        <v>1203979.1399999997</v>
      </c>
      <c r="I660" s="19">
        <f>SUM(F660:H660)</f>
        <v>2568735.2299999995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9752.0315620713263</v>
      </c>
      <c r="G661" s="19">
        <f>(L359/IF(SUM(L358:L360)=0,1,SUM(L358:L360))*(SUM(G97:G110)))</f>
        <v>0</v>
      </c>
      <c r="H661" s="19">
        <f>(L360/IF(SUM(L358:L360)=0,1,SUM(L358:L360))*(SUM(G97:G110)))</f>
        <v>6559.3684379286742</v>
      </c>
      <c r="I661" s="19">
        <f>SUM(F661:H661)</f>
        <v>16311.400000000001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46934.64</v>
      </c>
      <c r="G662" s="19">
        <f>(L226+L306)-(J226+J306)</f>
        <v>0</v>
      </c>
      <c r="H662" s="19">
        <f>(L244+L325)-(J244+J325)</f>
        <v>46301.939999999995</v>
      </c>
      <c r="I662" s="19">
        <f>SUM(F662:H662)</f>
        <v>93236.579999999987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29318.97</v>
      </c>
      <c r="G663" s="199">
        <f>SUM(G575:G587)+SUM(I602:I604)+L612</f>
        <v>0</v>
      </c>
      <c r="H663" s="199">
        <f>SUM(H575:H587)+SUM(J602:J604)+L613</f>
        <v>36746.67</v>
      </c>
      <c r="I663" s="19">
        <f>SUM(F663:H663)</f>
        <v>66065.64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1278750.4484379285</v>
      </c>
      <c r="G664" s="19">
        <f>G660-SUM(G661:G663)</f>
        <v>0</v>
      </c>
      <c r="H664" s="19">
        <f>H660-SUM(H661:H663)</f>
        <v>1114371.1615620709</v>
      </c>
      <c r="I664" s="19">
        <f>I660-SUM(I661:I663)</f>
        <v>2393121.6099999994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62.07</v>
      </c>
      <c r="G665" s="248"/>
      <c r="H665" s="248">
        <v>35.08</v>
      </c>
      <c r="I665" s="19">
        <f>SUM(F665:H665)</f>
        <v>97.15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20601.75</v>
      </c>
      <c r="G667" s="19" t="e">
        <f>ROUND(G664/G665,2)</f>
        <v>#DIV/0!</v>
      </c>
      <c r="H667" s="19">
        <f>ROUND(H664/H665,2)</f>
        <v>31766.57</v>
      </c>
      <c r="I667" s="19">
        <f>ROUND(I664/I665,2)</f>
        <v>24633.26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20601.75</v>
      </c>
      <c r="G672" s="19" t="e">
        <f>ROUND((G664+G669)/(G665+G670),2)</f>
        <v>#DIV/0!</v>
      </c>
      <c r="H672" s="19">
        <f>ROUND((H664+H669)/(H665+H670),2)</f>
        <v>31766.57</v>
      </c>
      <c r="I672" s="19">
        <f>ROUND((I664+I669)/(I665+I670),2)</f>
        <v>24633.26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PITTSBURG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665113.76</v>
      </c>
      <c r="C9" s="229">
        <f>'DOE25'!G197+'DOE25'!G215+'DOE25'!G233+'DOE25'!G276+'DOE25'!G295+'DOE25'!G314</f>
        <v>359211.01</v>
      </c>
    </row>
    <row r="10" spans="1:3" x14ac:dyDescent="0.2">
      <c r="A10" t="s">
        <v>778</v>
      </c>
      <c r="B10" s="240">
        <f>276783.33+41971+333505.79+3593.64</f>
        <v>655853.76</v>
      </c>
      <c r="C10" s="240">
        <f>359211.01-722.28</f>
        <v>358488.73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9260</v>
      </c>
      <c r="C12" s="240">
        <v>722.28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665113.76</v>
      </c>
      <c r="C13" s="231">
        <f>SUM(C10:C12)</f>
        <v>359211.01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103026.47</v>
      </c>
      <c r="C18" s="229">
        <f>'DOE25'!G198+'DOE25'!G216+'DOE25'!G234+'DOE25'!G277+'DOE25'!G296+'DOE25'!G315</f>
        <v>37030.17</v>
      </c>
    </row>
    <row r="19" spans="1:3" x14ac:dyDescent="0.2">
      <c r="A19" t="s">
        <v>778</v>
      </c>
      <c r="B19" s="240">
        <v>50438</v>
      </c>
      <c r="C19" s="240">
        <f>37030.17-3549.99-551.98</f>
        <v>32928.199999999997</v>
      </c>
    </row>
    <row r="20" spans="1:3" x14ac:dyDescent="0.2">
      <c r="A20" t="s">
        <v>779</v>
      </c>
      <c r="B20" s="240">
        <v>45511.97</v>
      </c>
      <c r="C20" s="240">
        <v>3549.99</v>
      </c>
    </row>
    <row r="21" spans="1:3" x14ac:dyDescent="0.2">
      <c r="A21" t="s">
        <v>780</v>
      </c>
      <c r="B21" s="240">
        <f>2031.25+5045.25</f>
        <v>7076.5</v>
      </c>
      <c r="C21" s="240">
        <v>551.98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103026.47</v>
      </c>
      <c r="C22" s="231">
        <f>SUM(C19:C21)</f>
        <v>37030.17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44464</v>
      </c>
      <c r="C36" s="235">
        <f>'DOE25'!G200+'DOE25'!G218+'DOE25'!G236+'DOE25'!G279+'DOE25'!G298+'DOE25'!G317</f>
        <v>5936.2199999999993</v>
      </c>
    </row>
    <row r="37" spans="1:3" x14ac:dyDescent="0.2">
      <c r="A37" t="s">
        <v>778</v>
      </c>
      <c r="B37" s="240">
        <v>9664</v>
      </c>
      <c r="C37" s="240">
        <v>2991.97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34800</v>
      </c>
      <c r="C39" s="240">
        <v>2944.25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44464</v>
      </c>
      <c r="C40" s="231">
        <f>SUM(C37:C39)</f>
        <v>5936.2199999999993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29" sqref="K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PITTSBURG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1355001.46</v>
      </c>
      <c r="D5" s="20">
        <f>SUM('DOE25'!L197:L200)+SUM('DOE25'!L215:L218)+SUM('DOE25'!L233:L236)-F5-G5</f>
        <v>1314038.76</v>
      </c>
      <c r="E5" s="243"/>
      <c r="F5" s="255">
        <f>SUM('DOE25'!J197:J200)+SUM('DOE25'!J215:J218)+SUM('DOE25'!J233:J236)</f>
        <v>30997.239999999998</v>
      </c>
      <c r="G5" s="53">
        <f>SUM('DOE25'!K197:K200)+SUM('DOE25'!K215:K218)+SUM('DOE25'!K233:K236)</f>
        <v>9965.4599999999991</v>
      </c>
      <c r="H5" s="259"/>
    </row>
    <row r="6" spans="1:9" x14ac:dyDescent="0.2">
      <c r="A6" s="32">
        <v>2100</v>
      </c>
      <c r="B6" t="s">
        <v>800</v>
      </c>
      <c r="C6" s="245">
        <f t="shared" si="0"/>
        <v>225005.94</v>
      </c>
      <c r="D6" s="20">
        <f>'DOE25'!L202+'DOE25'!L220+'DOE25'!L238-F6-G6</f>
        <v>201604.24000000002</v>
      </c>
      <c r="E6" s="243"/>
      <c r="F6" s="255">
        <f>'DOE25'!J202+'DOE25'!J220+'DOE25'!J238</f>
        <v>20559.870000000003</v>
      </c>
      <c r="G6" s="53">
        <f>'DOE25'!K202+'DOE25'!K220+'DOE25'!K238</f>
        <v>2841.83</v>
      </c>
      <c r="H6" s="259"/>
    </row>
    <row r="7" spans="1:9" x14ac:dyDescent="0.2">
      <c r="A7" s="32">
        <v>2200</v>
      </c>
      <c r="B7" t="s">
        <v>833</v>
      </c>
      <c r="C7" s="245">
        <f t="shared" si="0"/>
        <v>90363.91</v>
      </c>
      <c r="D7" s="20">
        <f>'DOE25'!L203+'DOE25'!L221+'DOE25'!L239-F7-G7</f>
        <v>84156.91</v>
      </c>
      <c r="E7" s="243"/>
      <c r="F7" s="255">
        <f>'DOE25'!J203+'DOE25'!J221+'DOE25'!J239</f>
        <v>730.55</v>
      </c>
      <c r="G7" s="53">
        <f>'DOE25'!K203+'DOE25'!K221+'DOE25'!K239</f>
        <v>5476.45</v>
      </c>
      <c r="H7" s="259"/>
    </row>
    <row r="8" spans="1:9" x14ac:dyDescent="0.2">
      <c r="A8" s="32">
        <v>2300</v>
      </c>
      <c r="B8" t="s">
        <v>801</v>
      </c>
      <c r="C8" s="245">
        <f t="shared" si="0"/>
        <v>138060.81999999998</v>
      </c>
      <c r="D8" s="243"/>
      <c r="E8" s="20">
        <f>'DOE25'!L204+'DOE25'!L222+'DOE25'!L240-F8-G8-D9-D11</f>
        <v>133991.21999999997</v>
      </c>
      <c r="F8" s="255">
        <f>'DOE25'!J204+'DOE25'!J222+'DOE25'!J240</f>
        <v>0</v>
      </c>
      <c r="G8" s="53">
        <f>'DOE25'!K204+'DOE25'!K222+'DOE25'!K240</f>
        <v>4069.6000000000004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20912.84</v>
      </c>
      <c r="D9" s="244">
        <f>28512.84-7600</f>
        <v>20912.84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75363.86</v>
      </c>
      <c r="D11" s="244">
        <v>75363.86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179398.26</v>
      </c>
      <c r="D12" s="20">
        <f>'DOE25'!L205+'DOE25'!L223+'DOE25'!L241-F12-G12</f>
        <v>178598.67</v>
      </c>
      <c r="E12" s="243"/>
      <c r="F12" s="255">
        <f>'DOE25'!J205+'DOE25'!J223+'DOE25'!J241</f>
        <v>0</v>
      </c>
      <c r="G12" s="53">
        <f>'DOE25'!K205+'DOE25'!K223+'DOE25'!K241</f>
        <v>799.58999999999992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266664.18</v>
      </c>
      <c r="D14" s="20">
        <f>'DOE25'!L207+'DOE25'!L225+'DOE25'!L243-F14-G14</f>
        <v>258975.61</v>
      </c>
      <c r="E14" s="243"/>
      <c r="F14" s="255">
        <f>'DOE25'!J207+'DOE25'!J225+'DOE25'!J243</f>
        <v>6879.8700000000008</v>
      </c>
      <c r="G14" s="53">
        <f>'DOE25'!K207+'DOE25'!K225+'DOE25'!K243</f>
        <v>808.7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96489.579999999987</v>
      </c>
      <c r="D15" s="20">
        <f>'DOE25'!L208+'DOE25'!L226+'DOE25'!L244-F15-G15</f>
        <v>92579.249999999985</v>
      </c>
      <c r="E15" s="243"/>
      <c r="F15" s="255">
        <f>'DOE25'!J208+'DOE25'!J226+'DOE25'!J244</f>
        <v>3253</v>
      </c>
      <c r="G15" s="53">
        <f>'DOE25'!K208+'DOE25'!K226+'DOE25'!K244</f>
        <v>657.32999999999993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6600</v>
      </c>
      <c r="D16" s="243"/>
      <c r="E16" s="20">
        <f>'DOE25'!L209+'DOE25'!L227+'DOE25'!L245-F16-G16</f>
        <v>6600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1032</v>
      </c>
      <c r="D22" s="243"/>
      <c r="E22" s="243"/>
      <c r="F22" s="255">
        <f>'DOE25'!L255+'DOE25'!L336</f>
        <v>1032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57546.54</v>
      </c>
      <c r="D29" s="20">
        <f>'DOE25'!L358+'DOE25'!L359+'DOE25'!L360-'DOE25'!I367-F29-G29</f>
        <v>52639</v>
      </c>
      <c r="E29" s="243"/>
      <c r="F29" s="255">
        <f>'DOE25'!J358+'DOE25'!J359+'DOE25'!J360</f>
        <v>4807.54</v>
      </c>
      <c r="G29" s="53">
        <f>'DOE25'!K358+'DOE25'!K359+'DOE25'!K360</f>
        <v>100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57327.839999999997</v>
      </c>
      <c r="D31" s="20">
        <f>'DOE25'!L290+'DOE25'!L309+'DOE25'!L328+'DOE25'!L333+'DOE25'!L334+'DOE25'!L335-F31-G31</f>
        <v>44648.159999999996</v>
      </c>
      <c r="E31" s="243"/>
      <c r="F31" s="255">
        <f>'DOE25'!J290+'DOE25'!J309+'DOE25'!J328+'DOE25'!J333+'DOE25'!J334+'DOE25'!J335</f>
        <v>3645.11</v>
      </c>
      <c r="G31" s="53">
        <f>'DOE25'!K290+'DOE25'!K309+'DOE25'!K328+'DOE25'!K333+'DOE25'!K334+'DOE25'!K335</f>
        <v>9034.57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2323517.3000000003</v>
      </c>
      <c r="E33" s="246">
        <f>SUM(E5:E31)</f>
        <v>148191.21999999997</v>
      </c>
      <c r="F33" s="246">
        <f>SUM(F5:F31)</f>
        <v>71905.180000000008</v>
      </c>
      <c r="G33" s="246">
        <f>SUM(G5:G31)</f>
        <v>33753.53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148191.21999999997</v>
      </c>
      <c r="E35" s="249"/>
    </row>
    <row r="36" spans="2:8" ht="12" thickTop="1" x14ac:dyDescent="0.2">
      <c r="B36" t="s">
        <v>814</v>
      </c>
      <c r="D36" s="20">
        <f>D33</f>
        <v>2323517.3000000003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68" sqref="A6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449429</v>
      </c>
      <c r="D8" s="95">
        <f>'DOE25'!G9</f>
        <v>21431.39</v>
      </c>
      <c r="E8" s="95">
        <f>'DOE25'!H9</f>
        <v>0</v>
      </c>
      <c r="F8" s="95">
        <f>'DOE25'!I9</f>
        <v>0</v>
      </c>
      <c r="G8" s="95">
        <f>'DOE25'!J9</f>
        <v>586358.53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4983.34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3330.87</v>
      </c>
      <c r="D12" s="95">
        <f>'DOE25'!G13</f>
        <v>1083.58</v>
      </c>
      <c r="E12" s="95">
        <f>'DOE25'!H13</f>
        <v>18898.89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305.3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4550.59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457743.21</v>
      </c>
      <c r="D18" s="41">
        <f>SUM(D8:D17)</f>
        <v>27370.86</v>
      </c>
      <c r="E18" s="41">
        <f>SUM(E8:E17)</f>
        <v>18898.89</v>
      </c>
      <c r="F18" s="41">
        <f>SUM(F8:F17)</f>
        <v>0</v>
      </c>
      <c r="G18" s="41">
        <f>SUM(G8:G17)</f>
        <v>586358.53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4983.34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16598.32</v>
      </c>
      <c r="D23" s="95">
        <f>'DOE25'!G24</f>
        <v>8210.2999999999993</v>
      </c>
      <c r="E23" s="95">
        <f>'DOE25'!H24</f>
        <v>4686.3500000000004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11872.810000000001</v>
      </c>
      <c r="D27" s="95">
        <f>'DOE25'!G28</f>
        <v>0</v>
      </c>
      <c r="E27" s="95">
        <f>'DOE25'!H28</f>
        <v>3867.5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3117.68</v>
      </c>
      <c r="D28" s="95">
        <f>'DOE25'!G29</f>
        <v>0</v>
      </c>
      <c r="E28" s="95">
        <f>'DOE25'!H29</f>
        <v>967.24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4394.46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31588.81</v>
      </c>
      <c r="D31" s="41">
        <f>SUM(D21:D30)</f>
        <v>8210.2999999999993</v>
      </c>
      <c r="E31" s="41">
        <f>SUM(E21:E30)</f>
        <v>18898.89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4550.59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14609.970000000008</v>
      </c>
      <c r="E47" s="95">
        <f>'DOE25'!H48</f>
        <v>0</v>
      </c>
      <c r="F47" s="95">
        <f>'DOE25'!I48</f>
        <v>0</v>
      </c>
      <c r="G47" s="95">
        <f>'DOE25'!J48</f>
        <v>586358.53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426154.40000000037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426154.40000000037</v>
      </c>
      <c r="D50" s="41">
        <f>SUM(D34:D49)</f>
        <v>19160.560000000009</v>
      </c>
      <c r="E50" s="41">
        <f>SUM(E34:E49)</f>
        <v>0</v>
      </c>
      <c r="F50" s="41">
        <f>SUM(F34:F49)</f>
        <v>0</v>
      </c>
      <c r="G50" s="41">
        <f>SUM(G34:G49)</f>
        <v>586358.53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457743.21000000037</v>
      </c>
      <c r="D51" s="41">
        <f>D50+D31</f>
        <v>27370.860000000008</v>
      </c>
      <c r="E51" s="41">
        <f>E50+E31</f>
        <v>18898.89</v>
      </c>
      <c r="F51" s="41">
        <f>F50+F31</f>
        <v>0</v>
      </c>
      <c r="G51" s="41">
        <f>G50+G31</f>
        <v>586358.53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1488264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448313.26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204.96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3986.26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16311.4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80722.61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529240.83000000007</v>
      </c>
      <c r="D62" s="130">
        <f>SUM(D57:D61)</f>
        <v>16311.4</v>
      </c>
      <c r="E62" s="130">
        <f>SUM(E57:E61)</f>
        <v>0</v>
      </c>
      <c r="F62" s="130">
        <f>SUM(F57:F61)</f>
        <v>0</v>
      </c>
      <c r="G62" s="130">
        <f>SUM(G57:G61)</f>
        <v>3986.26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2017504.83</v>
      </c>
      <c r="D63" s="22">
        <f>D56+D62</f>
        <v>16311.4</v>
      </c>
      <c r="E63" s="22">
        <f>E56+E62</f>
        <v>0</v>
      </c>
      <c r="F63" s="22">
        <f>F56+F62</f>
        <v>0</v>
      </c>
      <c r="G63" s="22">
        <f>G56+G62</f>
        <v>3986.26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32257.439999999999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518111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550368.43999999994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602.01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602.01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550368.43999999994</v>
      </c>
      <c r="D81" s="130">
        <f>SUM(D79:D80)+D78+D70</f>
        <v>602.01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3049.93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1048.93</v>
      </c>
      <c r="D88" s="95">
        <f>SUM('DOE25'!G153:G161)</f>
        <v>21848.21</v>
      </c>
      <c r="E88" s="95">
        <f>SUM('DOE25'!H153:H161)</f>
        <v>54277.909999999996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5805.31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6854.2400000000007</v>
      </c>
      <c r="D91" s="131">
        <f>SUM(D85:D90)</f>
        <v>21848.21</v>
      </c>
      <c r="E91" s="131">
        <f>SUM(E85:E90)</f>
        <v>57327.839999999997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35000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9972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9972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35000</v>
      </c>
    </row>
    <row r="104" spans="1:7" ht="12.75" thickTop="1" thickBot="1" x14ac:dyDescent="0.25">
      <c r="A104" s="33" t="s">
        <v>764</v>
      </c>
      <c r="C104" s="86">
        <f>C63+C81+C91+C103</f>
        <v>2584699.5100000002</v>
      </c>
      <c r="D104" s="86">
        <f>D63+D81+D91+D103</f>
        <v>58761.619999999995</v>
      </c>
      <c r="E104" s="86">
        <f>E63+E81+E91+E103</f>
        <v>57327.839999999997</v>
      </c>
      <c r="F104" s="86">
        <f>F63+F81+F91+F103</f>
        <v>0</v>
      </c>
      <c r="G104" s="86">
        <f>G63+G81+G103</f>
        <v>38986.26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1122645.3599999999</v>
      </c>
      <c r="D109" s="24" t="s">
        <v>288</v>
      </c>
      <c r="E109" s="95">
        <f>('DOE25'!L276)+('DOE25'!L295)+('DOE25'!L314)</f>
        <v>26811.53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140056.64000000001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92299.46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1355001.46</v>
      </c>
      <c r="D115" s="86">
        <f>SUM(D109:D114)</f>
        <v>0</v>
      </c>
      <c r="E115" s="86">
        <f>SUM(E109:E114)</f>
        <v>26811.53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225005.94</v>
      </c>
      <c r="D118" s="24" t="s">
        <v>288</v>
      </c>
      <c r="E118" s="95">
        <f>+('DOE25'!L281)+('DOE25'!L300)+('DOE25'!L319)</f>
        <v>8966.57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90363.91</v>
      </c>
      <c r="D119" s="24" t="s">
        <v>288</v>
      </c>
      <c r="E119" s="95">
        <f>+('DOE25'!L282)+('DOE25'!L301)+('DOE25'!L320)</f>
        <v>18005.099999999999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234337.52</v>
      </c>
      <c r="D120" s="24" t="s">
        <v>288</v>
      </c>
      <c r="E120" s="95">
        <f>+('DOE25'!L283)+('DOE25'!L302)+('DOE25'!L321)</f>
        <v>3544.64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179398.26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266664.18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96489.579999999987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6600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57546.54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1098859.3900000001</v>
      </c>
      <c r="D128" s="86">
        <f>SUM(D118:D127)</f>
        <v>57546.54</v>
      </c>
      <c r="E128" s="86">
        <f>SUM(E118:E127)</f>
        <v>30516.309999999998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1032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39972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38986.259999999995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-3986.2599999999948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56032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39972</v>
      </c>
    </row>
    <row r="145" spans="1:9" ht="12.75" thickTop="1" thickBot="1" x14ac:dyDescent="0.25">
      <c r="A145" s="33" t="s">
        <v>244</v>
      </c>
      <c r="C145" s="86">
        <f>(C115+C128+C144)</f>
        <v>2509892.85</v>
      </c>
      <c r="D145" s="86">
        <f>(D115+D128+D144)</f>
        <v>57546.54</v>
      </c>
      <c r="E145" s="86">
        <f>(E115+E128+E144)</f>
        <v>57327.839999999997</v>
      </c>
      <c r="F145" s="86">
        <f>(F115+F128+F144)</f>
        <v>0</v>
      </c>
      <c r="G145" s="86">
        <f>(G115+G128+G144)</f>
        <v>39972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PITTSBURG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20602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31767</v>
      </c>
    </row>
    <row r="7" spans="1:4" x14ac:dyDescent="0.2">
      <c r="B7" t="s">
        <v>704</v>
      </c>
      <c r="C7" s="179">
        <f>IF('DOE25'!I665+'DOE25'!I670=0,0,ROUND('DOE25'!I672,0))</f>
        <v>24633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1149457</v>
      </c>
      <c r="D10" s="182">
        <f>ROUND((C10/$C$28)*100,1)</f>
        <v>45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140057</v>
      </c>
      <c r="D11" s="182">
        <f>ROUND((C11/$C$28)*100,1)</f>
        <v>5.5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92299</v>
      </c>
      <c r="D13" s="182">
        <f>ROUND((C13/$C$28)*100,1)</f>
        <v>3.6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233973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108369</v>
      </c>
      <c r="D16" s="182">
        <f t="shared" si="0"/>
        <v>4.2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244482</v>
      </c>
      <c r="D17" s="182">
        <f t="shared" si="0"/>
        <v>9.6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179398</v>
      </c>
      <c r="D18" s="182">
        <f t="shared" si="0"/>
        <v>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266664</v>
      </c>
      <c r="D20" s="182">
        <f t="shared" si="0"/>
        <v>10.4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96490</v>
      </c>
      <c r="D21" s="182">
        <f t="shared" si="0"/>
        <v>3.8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41235.599999999999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2552424.6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1032</v>
      </c>
    </row>
    <row r="30" spans="1:4" x14ac:dyDescent="0.2">
      <c r="B30" s="187" t="s">
        <v>728</v>
      </c>
      <c r="C30" s="180">
        <f>SUM(C28:C29)</f>
        <v>2553456.6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1488264</v>
      </c>
      <c r="D35" s="182">
        <f t="shared" ref="D35:D40" si="1">ROUND((C35/$C$41)*100,1)</f>
        <v>56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533227.09000000008</v>
      </c>
      <c r="D36" s="182">
        <f t="shared" si="1"/>
        <v>20.100000000000001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550368</v>
      </c>
      <c r="D37" s="182">
        <f t="shared" si="1"/>
        <v>20.7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602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86030</v>
      </c>
      <c r="D39" s="182">
        <f t="shared" si="1"/>
        <v>3.2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2658491.09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PITTSBURG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2017-11-29T18:01:50Z</dcterms:modified>
</cp:coreProperties>
</file>