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9200" windowHeight="115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J472" i="1" l="1"/>
  <c r="G472" i="1"/>
  <c r="G468" i="1"/>
  <c r="F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E16" i="13" s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C111" i="2" s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D15" i="13" s="1"/>
  <c r="C15" i="13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L359" i="1"/>
  <c r="L360" i="1"/>
  <c r="D127" i="2" s="1"/>
  <c r="D128" i="2" s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3" i="1" s="1"/>
  <c r="C138" i="2" s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E85" i="2" s="1"/>
  <c r="H162" i="1"/>
  <c r="I147" i="1"/>
  <c r="I162" i="1"/>
  <c r="C18" i="10"/>
  <c r="L250" i="1"/>
  <c r="L332" i="1"/>
  <c r="L254" i="1"/>
  <c r="L268" i="1"/>
  <c r="C142" i="2" s="1"/>
  <c r="L269" i="1"/>
  <c r="L349" i="1"/>
  <c r="L350" i="1"/>
  <c r="I665" i="1"/>
  <c r="I670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F56" i="2"/>
  <c r="C57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F78" i="2" s="1"/>
  <c r="F81" i="2" s="1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C121" i="2"/>
  <c r="E121" i="2"/>
  <c r="C122" i="2"/>
  <c r="C125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I408" i="1" s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I446" i="1"/>
  <c r="G642" i="1" s="1"/>
  <c r="F452" i="1"/>
  <c r="G452" i="1"/>
  <c r="H452" i="1"/>
  <c r="I452" i="1"/>
  <c r="F460" i="1"/>
  <c r="G460" i="1"/>
  <c r="H460" i="1"/>
  <c r="F461" i="1"/>
  <c r="H639" i="1" s="1"/>
  <c r="G461" i="1"/>
  <c r="H640" i="1" s="1"/>
  <c r="H461" i="1"/>
  <c r="F470" i="1"/>
  <c r="G470" i="1"/>
  <c r="G476" i="1" s="1"/>
  <c r="H623" i="1" s="1"/>
  <c r="I470" i="1"/>
  <c r="G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J571" i="1" s="1"/>
  <c r="K560" i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30" i="1"/>
  <c r="H635" i="1"/>
  <c r="H636" i="1"/>
  <c r="H638" i="1"/>
  <c r="H641" i="1"/>
  <c r="G643" i="1"/>
  <c r="H643" i="1"/>
  <c r="G644" i="1"/>
  <c r="G645" i="1"/>
  <c r="H645" i="1"/>
  <c r="J645" i="1" s="1"/>
  <c r="G650" i="1"/>
  <c r="G651" i="1"/>
  <c r="G652" i="1"/>
  <c r="H652" i="1"/>
  <c r="G653" i="1"/>
  <c r="H653" i="1"/>
  <c r="G654" i="1"/>
  <c r="H654" i="1"/>
  <c r="H655" i="1"/>
  <c r="F192" i="1"/>
  <c r="A31" i="12"/>
  <c r="D18" i="2"/>
  <c r="G157" i="2"/>
  <c r="G161" i="2"/>
  <c r="E31" i="2"/>
  <c r="E78" i="2"/>
  <c r="L427" i="1"/>
  <c r="H112" i="1"/>
  <c r="K571" i="1"/>
  <c r="L419" i="1"/>
  <c r="I169" i="1"/>
  <c r="J643" i="1"/>
  <c r="I476" i="1"/>
  <c r="H625" i="1" s="1"/>
  <c r="J140" i="1"/>
  <c r="I552" i="1"/>
  <c r="C29" i="10"/>
  <c r="H140" i="1"/>
  <c r="F22" i="13"/>
  <c r="L560" i="1"/>
  <c r="G192" i="1"/>
  <c r="J655" i="1"/>
  <c r="L570" i="1"/>
  <c r="C22" i="13"/>
  <c r="H52" i="1" l="1"/>
  <c r="H619" i="1" s="1"/>
  <c r="J619" i="1" s="1"/>
  <c r="A40" i="12"/>
  <c r="I369" i="1"/>
  <c r="H634" i="1" s="1"/>
  <c r="J634" i="1" s="1"/>
  <c r="E123" i="2"/>
  <c r="I545" i="1"/>
  <c r="G552" i="1"/>
  <c r="F552" i="1"/>
  <c r="H545" i="1"/>
  <c r="G545" i="1"/>
  <c r="L524" i="1"/>
  <c r="K550" i="1"/>
  <c r="K551" i="1"/>
  <c r="L544" i="1"/>
  <c r="L534" i="1"/>
  <c r="H552" i="1"/>
  <c r="K549" i="1"/>
  <c r="J623" i="1"/>
  <c r="C18" i="2"/>
  <c r="J617" i="1"/>
  <c r="J641" i="1"/>
  <c r="J640" i="1"/>
  <c r="I460" i="1"/>
  <c r="I461" i="1" s="1"/>
  <c r="H642" i="1" s="1"/>
  <c r="J642" i="1" s="1"/>
  <c r="J639" i="1"/>
  <c r="H408" i="1"/>
  <c r="H644" i="1" s="1"/>
  <c r="J644" i="1" s="1"/>
  <c r="L401" i="1"/>
  <c r="C139" i="2" s="1"/>
  <c r="K598" i="1"/>
  <c r="G647" i="1" s="1"/>
  <c r="F571" i="1"/>
  <c r="H169" i="1"/>
  <c r="H193" i="1" s="1"/>
  <c r="C35" i="10"/>
  <c r="C56" i="2"/>
  <c r="L433" i="1"/>
  <c r="C132" i="2"/>
  <c r="L362" i="1"/>
  <c r="C27" i="10" s="1"/>
  <c r="H661" i="1"/>
  <c r="K257" i="1"/>
  <c r="E120" i="2"/>
  <c r="H338" i="1"/>
  <c r="H352" i="1" s="1"/>
  <c r="F661" i="1"/>
  <c r="D29" i="13"/>
  <c r="C29" i="13" s="1"/>
  <c r="G661" i="1"/>
  <c r="C110" i="2"/>
  <c r="L270" i="1"/>
  <c r="K271" i="1"/>
  <c r="C11" i="10"/>
  <c r="C13" i="10"/>
  <c r="E124" i="2"/>
  <c r="J257" i="1"/>
  <c r="J271" i="1" s="1"/>
  <c r="E110" i="2"/>
  <c r="L328" i="1"/>
  <c r="G649" i="1"/>
  <c r="J649" i="1" s="1"/>
  <c r="C124" i="2"/>
  <c r="F662" i="1"/>
  <c r="I662" i="1" s="1"/>
  <c r="G662" i="1"/>
  <c r="C21" i="10"/>
  <c r="H257" i="1"/>
  <c r="H271" i="1" s="1"/>
  <c r="C20" i="10"/>
  <c r="E119" i="2"/>
  <c r="I257" i="1"/>
  <c r="I271" i="1" s="1"/>
  <c r="L351" i="1"/>
  <c r="C109" i="2"/>
  <c r="C115" i="2" s="1"/>
  <c r="E109" i="2"/>
  <c r="J338" i="1"/>
  <c r="J352" i="1" s="1"/>
  <c r="D14" i="13"/>
  <c r="C14" i="13" s="1"/>
  <c r="C123" i="2"/>
  <c r="D5" i="13"/>
  <c r="C5" i="13" s="1"/>
  <c r="D7" i="13"/>
  <c r="C7" i="13" s="1"/>
  <c r="E112" i="2"/>
  <c r="F338" i="1"/>
  <c r="F352" i="1" s="1"/>
  <c r="D12" i="13"/>
  <c r="C12" i="13" s="1"/>
  <c r="L309" i="1"/>
  <c r="E118" i="2"/>
  <c r="G338" i="1"/>
  <c r="G352" i="1" s="1"/>
  <c r="C119" i="2"/>
  <c r="L229" i="1"/>
  <c r="C16" i="10"/>
  <c r="C118" i="2"/>
  <c r="L247" i="1"/>
  <c r="H660" i="1" s="1"/>
  <c r="G257" i="1"/>
  <c r="G271" i="1" s="1"/>
  <c r="D6" i="13"/>
  <c r="C6" i="13" s="1"/>
  <c r="C15" i="10"/>
  <c r="C17" i="10"/>
  <c r="C120" i="2"/>
  <c r="L211" i="1"/>
  <c r="A13" i="12"/>
  <c r="C10" i="10"/>
  <c r="C16" i="13"/>
  <c r="C81" i="2"/>
  <c r="F257" i="1"/>
  <c r="F271" i="1" s="1"/>
  <c r="D145" i="2"/>
  <c r="E13" i="13"/>
  <c r="C13" i="13" s="1"/>
  <c r="E8" i="13"/>
  <c r="C8" i="13" s="1"/>
  <c r="L290" i="1"/>
  <c r="C26" i="10"/>
  <c r="L539" i="1"/>
  <c r="K503" i="1"/>
  <c r="L382" i="1"/>
  <c r="G636" i="1" s="1"/>
  <c r="J636" i="1" s="1"/>
  <c r="K338" i="1"/>
  <c r="K352" i="1" s="1"/>
  <c r="C62" i="2"/>
  <c r="C63" i="2" s="1"/>
  <c r="G112" i="1"/>
  <c r="H25" i="13"/>
  <c r="E81" i="2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F104" i="2"/>
  <c r="G169" i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G635" i="1"/>
  <c r="J635" i="1" s="1"/>
  <c r="C39" i="10" l="1"/>
  <c r="G629" i="1"/>
  <c r="H468" i="1"/>
  <c r="G646" i="1"/>
  <c r="J468" i="1"/>
  <c r="J647" i="1"/>
  <c r="K552" i="1"/>
  <c r="L545" i="1"/>
  <c r="C141" i="2"/>
  <c r="C144" i="2" s="1"/>
  <c r="L408" i="1"/>
  <c r="H664" i="1"/>
  <c r="H672" i="1" s="1"/>
  <c r="C6" i="10" s="1"/>
  <c r="I661" i="1"/>
  <c r="H648" i="1"/>
  <c r="J648" i="1" s="1"/>
  <c r="C104" i="2"/>
  <c r="E115" i="2"/>
  <c r="E128" i="2"/>
  <c r="F660" i="1"/>
  <c r="F664" i="1" s="1"/>
  <c r="F667" i="1" s="1"/>
  <c r="G660" i="1"/>
  <c r="G664" i="1" s="1"/>
  <c r="G667" i="1" s="1"/>
  <c r="C128" i="2"/>
  <c r="L257" i="1"/>
  <c r="L271" i="1" s="1"/>
  <c r="L338" i="1"/>
  <c r="L352" i="1" s="1"/>
  <c r="D31" i="13"/>
  <c r="C31" i="13" s="1"/>
  <c r="C25" i="13"/>
  <c r="H33" i="13"/>
  <c r="E33" i="13"/>
  <c r="D35" i="13" s="1"/>
  <c r="C28" i="10"/>
  <c r="D19" i="10" s="1"/>
  <c r="G104" i="2"/>
  <c r="C51" i="2"/>
  <c r="G631" i="1"/>
  <c r="G193" i="1"/>
  <c r="G628" i="1" s="1"/>
  <c r="J628" i="1" s="1"/>
  <c r="G626" i="1"/>
  <c r="J52" i="1"/>
  <c r="H621" i="1" s="1"/>
  <c r="J621" i="1" s="1"/>
  <c r="C38" i="10"/>
  <c r="H629" i="1" l="1"/>
  <c r="J629" i="1" s="1"/>
  <c r="H470" i="1"/>
  <c r="J470" i="1"/>
  <c r="J476" i="1" s="1"/>
  <c r="H626" i="1" s="1"/>
  <c r="J626" i="1" s="1"/>
  <c r="H631" i="1"/>
  <c r="J631" i="1" s="1"/>
  <c r="H637" i="1"/>
  <c r="G633" i="1"/>
  <c r="H472" i="1"/>
  <c r="G632" i="1"/>
  <c r="F472" i="1"/>
  <c r="C145" i="2"/>
  <c r="H667" i="1"/>
  <c r="G637" i="1"/>
  <c r="J637" i="1" s="1"/>
  <c r="H646" i="1"/>
  <c r="J646" i="1" s="1"/>
  <c r="E145" i="2"/>
  <c r="F672" i="1"/>
  <c r="C4" i="10" s="1"/>
  <c r="I660" i="1"/>
  <c r="I664" i="1" s="1"/>
  <c r="I672" i="1" s="1"/>
  <c r="C7" i="10" s="1"/>
  <c r="G672" i="1"/>
  <c r="C5" i="10" s="1"/>
  <c r="D33" i="13"/>
  <c r="D36" i="13" s="1"/>
  <c r="D18" i="10"/>
  <c r="D13" i="10"/>
  <c r="D17" i="10"/>
  <c r="D24" i="10"/>
  <c r="D21" i="10"/>
  <c r="D27" i="10"/>
  <c r="D26" i="10"/>
  <c r="D12" i="10"/>
  <c r="D10" i="10"/>
  <c r="D11" i="10"/>
  <c r="D22" i="10"/>
  <c r="C30" i="10"/>
  <c r="D16" i="10"/>
  <c r="D23" i="10"/>
  <c r="D20" i="10"/>
  <c r="D15" i="10"/>
  <c r="D25" i="10"/>
  <c r="C41" i="10"/>
  <c r="D38" i="10" s="1"/>
  <c r="H474" i="1" l="1"/>
  <c r="H476" i="1" s="1"/>
  <c r="H624" i="1" s="1"/>
  <c r="J624" i="1" s="1"/>
  <c r="H633" i="1"/>
  <c r="J633" i="1" s="1"/>
  <c r="H632" i="1"/>
  <c r="J632" i="1" s="1"/>
  <c r="F474" i="1"/>
  <c r="F476" i="1" s="1"/>
  <c r="H622" i="1" s="1"/>
  <c r="J622" i="1" s="1"/>
  <c r="I667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<sst xmlns="http://schemas.openxmlformats.org/spreadsheetml/2006/main" count="3959" uniqueCount="916">
  <si>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</si>
  <si>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</si>
  <si>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</si>
  <si>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</si>
  <si>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</si>
  <si>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</si>
  <si>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</si>
  <si>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</si>
  <si>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</si>
  <si>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</si>
  <si>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</si>
  <si>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</si>
  <si>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</si>
  <si>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</si>
  <si>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</si>
  <si>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</si>
  <si>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</si>
  <si>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</si>
  <si>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</si>
  <si>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</si>
  <si>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</si>
  <si>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</si>
  <si>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</si>
  <si>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</si>
  <si>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</si>
  <si>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</si>
  <si>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</si>
  <si>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</si>
  <si>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</si>
  <si>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</si>
  <si>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</si>
  <si>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</si>
  <si>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</si>
  <si>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</si>
  <si>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</si>
  <si>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</si>
  <si>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</si>
  <si>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</si>
  <si>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</si>
  <si>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</si>
  <si>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</si>
  <si>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</si>
  <si>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</si>
  <si>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</si>
  <si>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</si>
  <si>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</si>
  <si>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</si>
  <si>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</si>
  <si>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</si>
  <si>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</si>
  <si>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</si>
  <si>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</si>
  <si>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</si>
  <si>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</si>
  <si>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</si>
  <si>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</si>
  <si>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</si>
  <si>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</si>
  <si>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</si>
  <si>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</si>
  <si>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</si>
  <si>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</si>
  <si>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</si>
  <si>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</si>
  <si>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</si>
  <si>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</si>
  <si>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</si>
  <si>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</si>
  <si>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</si>
  <si>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</si>
  <si>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</si>
  <si>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</si>
  <si>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</si>
  <si>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</si>
  <si>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</si>
  <si>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</si>
  <si>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</si>
  <si>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</si>
  <si>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</si>
  <si>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</si>
  <si>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</si>
  <si>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</si>
  <si>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</si>
  <si>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</si>
  <si>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</si>
  <si>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</si>
  <si>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</si>
  <si>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</si>
  <si>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</si>
  <si>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</si>
  <si>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</si>
  <si>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</si>
  <si>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</si>
  <si>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</si>
  <si>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</si>
  <si>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</si>
  <si>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</si>
  <si>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</si>
  <si>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</si>
  <si>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</si>
  <si>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</si>
  <si>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</si>
  <si>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</si>
  <si>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</si>
  <si>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</si>
  <si>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</si>
  <si>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</si>
  <si>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</si>
  <si>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</si>
  <si>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</si>
  <si>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</si>
  <si>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</si>
  <si>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</si>
  <si>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</si>
  <si>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</si>
  <si>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</si>
  <si>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</si>
  <si>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</si>
  <si>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</si>
  <si>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</si>
  <si>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</si>
  <si>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</si>
  <si>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</si>
  <si>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</si>
  <si>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</si>
  <si>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</si>
  <si>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</si>
  <si>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</si>
  <si>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</si>
  <si>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</si>
  <si>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</si>
  <si>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</si>
  <si>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</si>
  <si>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</si>
  <si>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</si>
  <si>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</si>
  <si>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</si>
  <si>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</si>
  <si>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</si>
  <si>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</si>
  <si>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</si>
  <si>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</si>
  <si>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</si>
  <si>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</si>
  <si>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</si>
  <si>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</si>
  <si>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</si>
  <si>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</si>
  <si>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</si>
  <si>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</si>
  <si>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</si>
  <si>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</si>
  <si>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</si>
  <si>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</si>
  <si>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</si>
  <si>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</si>
  <si>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</si>
  <si>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</si>
  <si>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</si>
  <si>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</si>
  <si>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</si>
  <si>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</si>
  <si>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</si>
  <si>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</si>
  <si>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</si>
  <si>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</si>
  <si>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</si>
  <si>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</si>
  <si>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</si>
  <si>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</si>
  <si>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</si>
  <si>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</si>
  <si>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</si>
  <si>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</si>
  <si>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</si>
  <si>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</si>
  <si>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</si>
  <si>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</si>
  <si>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</si>
  <si>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</si>
  <si>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</si>
  <si>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</si>
  <si>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</si>
  <si>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</si>
  <si>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</si>
  <si>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</si>
  <si>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</si>
  <si>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</si>
  <si>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</si>
  <si>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</si>
  <si>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</si>
  <si>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</si>
  <si>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</si>
  <si>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</si>
  <si>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</si>
  <si>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</si>
  <si>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</si>
  <si>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</si>
  <si>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</si>
  <si>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</si>
  <si>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</si>
  <si>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</si>
  <si>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</si>
  <si>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</si>
  <si>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</si>
  <si>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</si>
  <si>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</si>
  <si>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</si>
  <si>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</si>
  <si>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</si>
  <si>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</si>
  <si>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</si>
  <si>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</si>
  <si>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</si>
  <si>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</si>
  <si>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</si>
  <si>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</si>
  <si>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</si>
  <si>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</si>
  <si>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</si>
  <si>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</si>
  <si>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</si>
  <si>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</si>
  <si>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</si>
  <si>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</si>
  <si>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</si>
  <si>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</si>
  <si>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</si>
  <si>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</si>
  <si>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</si>
  <si>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</si>
  <si>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</si>
  <si>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</si>
  <si>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</si>
  <si>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</si>
  <si>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</si>
  <si>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</si>
  <si>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</si>
  <si>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</si>
  <si>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</si>
  <si>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</si>
  <si>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</si>
  <si>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</si>
  <si>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</si>
  <si>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</si>
  <si>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</si>
  <si>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</si>
  <si>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</si>
  <si>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</si>
  <si>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</si>
  <si>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</si>
  <si>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</si>
  <si>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</si>
  <si>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</si>
  <si>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</si>
  <si>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</si>
  <si>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</si>
  <si>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</si>
  <si>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</si>
  <si>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</si>
  <si>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</si>
  <si>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</si>
  <si>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</si>
  <si>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</si>
  <si>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</si>
  <si>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</si>
  <si>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</si>
  <si>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</si>
  <si>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</si>
  <si>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</si>
  <si>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</si>
  <si>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</si>
  <si>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</si>
  <si>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</si>
  <si>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</si>
  <si>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</si>
  <si>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</si>
  <si>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</si>
  <si>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</si>
  <si>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</si>
  <si>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</si>
  <si>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</si>
  <si>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</si>
  <si>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</si>
  <si>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</si>
  <si>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</si>
  <si>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</si>
  <si>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</si>
  <si>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</si>
  <si>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</si>
  <si>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</si>
  <si>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</si>
  <si>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</si>
  <si>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</si>
  <si>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</si>
  <si>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</si>
  <si>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</si>
  <si>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</si>
  <si>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</si>
  <si>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</si>
  <si>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</si>
  <si>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</si>
  <si>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</si>
  <si>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</si>
  <si>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</si>
  <si>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</si>
  <si>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</si>
  <si>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</si>
  <si>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</si>
  <si>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</si>
  <si>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</si>
  <si>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</si>
  <si>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</si>
  <si>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</si>
  <si>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</si>
  <si>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</si>
  <si>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</si>
  <si>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</si>
  <si>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</si>
  <si>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</si>
  <si>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</si>
  <si>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</si>
  <si>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</si>
  <si>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</si>
  <si>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</si>
  <si>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</si>
  <si>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</si>
  <si>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</si>
  <si>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</si>
  <si>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</si>
  <si>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</si>
  <si>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</si>
  <si>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</si>
  <si>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</si>
  <si>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</si>
  <si>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</si>
  <si>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</si>
  <si>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</si>
  <si>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</si>
  <si>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</si>
  <si>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</si>
  <si>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</si>
  <si>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</si>
  <si>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</si>
  <si>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</si>
  <si>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</si>
  <si>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</si>
  <si>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</si>
  <si>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</si>
  <si>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</si>
  <si>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</si>
  <si>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</si>
  <si>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</si>
  <si>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</si>
  <si>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</si>
  <si>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</si>
  <si>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</si>
  <si>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</si>
  <si>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</si>
  <si>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</si>
  <si>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</si>
  <si>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</si>
  <si>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</si>
  <si>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</si>
  <si>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</si>
  <si>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</si>
  <si>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</si>
  <si>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</si>
  <si>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</si>
  <si>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</si>
  <si>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</si>
  <si>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</si>
  <si>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</si>
  <si>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</si>
  <si>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</si>
  <si>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</si>
  <si>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</si>
  <si>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</si>
  <si>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</si>
  <si>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</si>
  <si>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</si>
  <si>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</si>
  <si>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</si>
  <si>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</si>
  <si>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</si>
  <si>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</si>
  <si>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</si>
  <si>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</si>
  <si>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</si>
  <si>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</si>
  <si>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</si>
  <si>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</si>
  <si>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</si>
  <si>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</si>
  <si>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</si>
  <si>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</si>
  <si>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</si>
  <si>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</si>
  <si>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</si>
  <si>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</si>
  <si>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</si>
  <si>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</si>
  <si>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</si>
  <si>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</si>
  <si>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</si>
  <si>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</si>
  <si>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</si>
  <si>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</si>
  <si>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</si>
  <si>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</si>
  <si>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</si>
  <si>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</si>
  <si>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</si>
  <si>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</si>
  <si>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</si>
  <si>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</si>
  <si>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</si>
  <si>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</si>
  <si>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</si>
  <si>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</si>
  <si>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</si>
  <si>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</si>
  <si>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</si>
  <si>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</si>
  <si>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</si>
  <si>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</si>
  <si>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</si>
  <si>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</si>
  <si>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</si>
  <si>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</si>
  <si>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</si>
  <si>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</si>
  <si>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</si>
  <si>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</si>
  <si>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</si>
  <si>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</si>
  <si>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</si>
  <si>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</si>
  <si>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</si>
  <si>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</si>
  <si>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</si>
  <si>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</si>
  <si>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</si>
  <si>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</si>
  <si>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</si>
  <si>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</si>
  <si>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</si>
  <si>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</si>
  <si>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</si>
  <si>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</si>
  <si>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</si>
  <si>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</si>
  <si>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</si>
  <si>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</si>
  <si>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</si>
  <si>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</si>
  <si>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</si>
  <si>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</si>
  <si>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</si>
  <si>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</si>
  <si>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</si>
  <si>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</si>
  <si>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</si>
  <si>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</si>
  <si>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</si>
  <si>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</si>
  <si>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</si>
  <si>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</si>
  <si>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</si>
  <si>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</si>
  <si>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</si>
  <si>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</si>
  <si>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</si>
  <si>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</si>
  <si>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</si>
  <si>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</si>
  <si>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</si>
  <si>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</si>
  <si>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</si>
  <si>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</si>
  <si>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</si>
  <si>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</si>
  <si>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</si>
  <si>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</si>
  <si>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</si>
  <si>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</si>
  <si>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</si>
  <si>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</si>
  <si>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</si>
  <si>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</si>
  <si>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</si>
  <si>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</si>
  <si>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</si>
  <si>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</si>
  <si>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</si>
  <si>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</si>
  <si>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</si>
  <si>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</si>
  <si>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</si>
  <si>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</si>
  <si>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</si>
  <si>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</si>
  <si>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</si>
  <si>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</si>
  <si>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</si>
  <si>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</si>
  <si>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</si>
  <si>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</si>
  <si>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</si>
  <si>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</si>
  <si>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</si>
  <si>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</si>
  <si>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</si>
  <si>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</si>
  <si>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</si>
  <si>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</si>
  <si>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</si>
  <si>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</si>
  <si>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</si>
  <si>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</si>
  <si>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</si>
  <si>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</si>
  <si>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</si>
  <si>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</si>
  <si>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</si>
  <si>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</si>
  <si>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</si>
  <si>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</si>
  <si>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</si>
  <si>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</si>
  <si>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</si>
  <si>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</si>
  <si>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</si>
  <si>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</si>
  <si>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</si>
  <si>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</si>
  <si>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</si>
  <si>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</si>
  <si>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</si>
  <si>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</si>
  <si>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</si>
  <si>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</si>
  <si>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</si>
  <si>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</si>
  <si>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</si>
  <si>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</si>
  <si>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</si>
  <si>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</si>
  <si>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</si>
  <si>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</si>
  <si>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</si>
  <si>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</si>
  <si>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</si>
  <si>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</si>
  <si>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</si>
  <si>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</si>
  <si>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</si>
  <si>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</si>
  <si>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</si>
  <si>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</si>
  <si>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</si>
  <si>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</si>
  <si>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</si>
  <si>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</si>
  <si>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</si>
  <si>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</si>
  <si>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</si>
  <si>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</si>
  <si>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</si>
  <si>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</si>
  <si>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</si>
  <si>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</si>
  <si>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</si>
  <si>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</si>
  <si>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</si>
  <si>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</si>
  <si>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</si>
  <si>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</si>
  <si>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</si>
  <si>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</si>
  <si>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</si>
  <si>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</si>
  <si>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</si>
  <si>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</si>
  <si>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</si>
  <si>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</si>
  <si>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</si>
  <si>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</si>
  <si>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</si>
  <si>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</si>
  <si>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</si>
  <si>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</si>
  <si>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</si>
  <si>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</si>
  <si>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</si>
  <si>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</si>
  <si>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</si>
  <si>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</si>
  <si>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</si>
  <si>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</si>
  <si>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</si>
  <si>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</si>
  <si>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</si>
  <si>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</si>
  <si>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</si>
  <si>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</si>
  <si>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</si>
  <si>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</si>
  <si>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</si>
  <si>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</si>
  <si>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</si>
  <si>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</si>
  <si>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</si>
  <si>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</si>
  <si>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</si>
  <si>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</si>
  <si>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</si>
  <si>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</si>
  <si>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</si>
  <si>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</si>
  <si>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</si>
  <si>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</si>
  <si>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</si>
  <si>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</si>
  <si>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</si>
  <si>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</si>
  <si>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</si>
  <si>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</si>
  <si>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</si>
  <si>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</si>
  <si>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</si>
  <si>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</si>
  <si>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</si>
  <si>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</si>
  <si>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</si>
  <si>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</si>
  <si>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</si>
  <si>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</si>
  <si>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</si>
  <si>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</si>
  <si>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</si>
  <si>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</si>
  <si>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</si>
  <si>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</si>
  <si>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</si>
  <si>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</si>
  <si>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</si>
  <si>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</si>
  <si>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</si>
  <si>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</si>
  <si>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</si>
  <si>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</si>
  <si>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</si>
  <si>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</si>
  <si>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</si>
  <si>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</si>
  <si>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</si>
  <si>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</si>
  <si>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</si>
  <si>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</si>
  <si>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</si>
  <si>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</si>
  <si>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</si>
  <si>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</si>
  <si>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</si>
  <si>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</si>
  <si>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</si>
  <si>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</si>
  <si>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</si>
  <si>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</si>
  <si>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</si>
  <si>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</si>
  <si>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</si>
  <si>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</si>
  <si>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</si>
  <si>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</si>
  <si>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</si>
  <si>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</si>
  <si>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</si>
  <si>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</si>
  <si>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</si>
  <si>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</si>
  <si>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</si>
  <si>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</si>
  <si>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</si>
  <si>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</si>
  <si>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</si>
  <si>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</si>
  <si>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</si>
  <si>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</si>
  <si>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</si>
  <si>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</si>
  <si>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</si>
  <si>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</si>
  <si>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</si>
  <si>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</si>
  <si>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</si>
  <si>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</si>
  <si>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</si>
  <si>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</si>
  <si>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</si>
  <si>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</si>
  <si>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</si>
  <si>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</si>
  <si>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</si>
  <si>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</si>
  <si>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</si>
  <si>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</si>
  <si>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</si>
  <si>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</si>
  <si>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</si>
  <si>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</si>
  <si>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</si>
  <si>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</si>
  <si>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</si>
  <si>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</si>
  <si>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</si>
  <si>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</si>
  <si>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</si>
  <si>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</si>
  <si>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</si>
  <si>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</si>
  <si>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</si>
  <si>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</si>
  <si>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</si>
  <si>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</si>
  <si>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</si>
  <si>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</si>
  <si>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</si>
  <si>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</si>
  <si>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</si>
  <si>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</si>
  <si>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</si>
  <si>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</si>
  <si>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</si>
  <si>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</si>
  <si>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</si>
  <si>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</si>
  <si>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</si>
  <si>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</si>
  <si>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</si>
  <si>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</si>
  <si>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</si>
  <si>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</si>
  <si>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</si>
  <si>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</si>
  <si>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</si>
  <si>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</si>
  <si>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</si>
  <si>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</si>
  <si>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</si>
  <si>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</si>
  <si>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</si>
  <si>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</si>
  <si>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</si>
  <si>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</si>
  <si>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</si>
  <si>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</si>
  <si>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</si>
  <si>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</si>
  <si>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</si>
  <si>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</si>
  <si>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</si>
  <si>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</si>
  <si>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</si>
  <si>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</si>
  <si>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</si>
  <si>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</si>
  <si>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</si>
  <si>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</si>
  <si>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</si>
  <si>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</si>
  <si>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</si>
  <si>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</si>
  <si>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</si>
  <si>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</si>
  <si>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</si>
  <si>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</si>
  <si>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</si>
  <si>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</si>
  <si>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</si>
  <si>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</si>
  <si>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</si>
  <si>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</si>
  <si>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</si>
  <si>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</si>
  <si>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</si>
  <si>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</si>
  <si>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</si>
  <si>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</si>
  <si>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</si>
  <si>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</si>
  <si>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</si>
  <si>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</si>
  <si>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</si>
  <si>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</si>
  <si>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</si>
  <si>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</si>
  <si>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</si>
  <si>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</si>
  <si>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</si>
  <si>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</si>
  <si>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</si>
  <si>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</si>
  <si>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</si>
  <si>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</si>
  <si>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</si>
  <si>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</si>
  <si>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</si>
  <si>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</si>
  <si>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</si>
  <si>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</si>
  <si>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</si>
  <si>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</si>
  <si>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</si>
  <si>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</si>
  <si>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</si>
  <si>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</si>
  <si>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</si>
  <si>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</si>
  <si>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</si>
  <si>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</si>
  <si>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</si>
  <si>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</si>
  <si>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</si>
  <si>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</si>
  <si>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</si>
  <si>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</si>
  <si>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</si>
  <si>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</si>
  <si>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</si>
  <si>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</si>
  <si>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</si>
  <si>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</si>
  <si>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</si>
  <si>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</si>
  <si>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</si>
  <si>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</si>
  <si>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</si>
  <si>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</si>
  <si>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</si>
  <si>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</si>
  <si>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</si>
  <si>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</si>
  <si>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</si>
  <si>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</si>
  <si>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</si>
  <si>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</si>
  <si>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</si>
  <si>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</si>
  <si>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</si>
  <si>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</si>
  <si>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</si>
  <si>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</si>
  <si>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</si>
  <si>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</si>
  <si>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</si>
  <si>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</si>
  <si>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</si>
  <si>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</si>
  <si>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</si>
  <si>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</si>
  <si>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</si>
  <si>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</si>
  <si>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</si>
  <si>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</si>
  <si>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</si>
  <si>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</si>
  <si>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</si>
  <si>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</si>
  <si>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</si>
  <si>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</si>
  <si>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</si>
  <si>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</si>
  <si>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</si>
  <si>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</si>
  <si>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</si>
  <si>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</si>
  <si>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</si>
  <si>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</si>
  <si>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</si>
  <si>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</si>
  <si>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</si>
  <si>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</si>
  <si>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</si>
  <si>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</si>
  <si>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</si>
  <si>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</si>
  <si>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</si>
  <si>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</si>
  <si>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</si>
  <si>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</si>
  <si>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</si>
  <si>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</si>
  <si>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</si>
  <si>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</si>
  <si>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</si>
  <si>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</si>
  <si>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</si>
  <si>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</si>
  <si>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</si>
  <si>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</si>
  <si>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</si>
  <si>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</si>
  <si>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</si>
  <si>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</si>
  <si>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</si>
  <si>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</si>
  <si>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</si>
  <si>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</si>
  <si>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</si>
  <si>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</si>
  <si>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PITTSFIELD SCHOOL DISTRICT</t>
  </si>
  <si>
    <t>12/99</t>
  </si>
  <si>
    <t>01/20</t>
  </si>
  <si>
    <t>CARPENTER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</si>
</sst>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439</v>
      </c>
      <c r="C2" s="21">
        <v>439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616302.43000000005</v>
      </c>
      <c r="G9" s="18">
        <v>87122.6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203832.59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149663.48000000001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50446.79</v>
      </c>
      <c r="G13" s="18">
        <v>40061.17</v>
      </c>
      <c r="H13" s="18"/>
      <c r="I13" s="18"/>
      <c r="J13" s="67">
        <f>SUM(I442)</f>
        <v>461905.64999999997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26112.28</v>
      </c>
      <c r="G14" s="18">
        <v>465</v>
      </c>
      <c r="H14" s="18">
        <v>233716.25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11838.44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842524.9800000001</v>
      </c>
      <c r="G19" s="41">
        <f>SUM(G9:G18)</f>
        <v>139487.21</v>
      </c>
      <c r="H19" s="41">
        <f>SUM(H9:H18)</f>
        <v>233716.25</v>
      </c>
      <c r="I19" s="41">
        <f>SUM(I9:I18)</f>
        <v>0</v>
      </c>
      <c r="J19" s="41">
        <f>SUM(J9:J18)</f>
        <v>665738.23999999999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21609.62</v>
      </c>
      <c r="G22" s="18">
        <v>109952.09</v>
      </c>
      <c r="H22" s="18">
        <v>39711.39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272700.79999999999</v>
      </c>
      <c r="G24" s="18">
        <v>12712.95</v>
      </c>
      <c r="H24" s="18">
        <v>898.02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469285.62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193106.84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763596.04</v>
      </c>
      <c r="G32" s="41">
        <f>SUM(G22:G31)</f>
        <v>122665.04</v>
      </c>
      <c r="H32" s="41">
        <f>SUM(H22:H31)</f>
        <v>233716.25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11838.44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203832.59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4983.7299999999996</v>
      </c>
      <c r="H48" s="18"/>
      <c r="I48" s="18"/>
      <c r="J48" s="13">
        <f>SUM(I459)</f>
        <v>461905.64999999997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78928.94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78928.94</v>
      </c>
      <c r="G51" s="41">
        <f>SUM(G35:G50)</f>
        <v>16822.169999999998</v>
      </c>
      <c r="H51" s="41">
        <f>SUM(H35:H50)</f>
        <v>0</v>
      </c>
      <c r="I51" s="41">
        <f>SUM(I35:I50)</f>
        <v>0</v>
      </c>
      <c r="J51" s="41">
        <f>SUM(J35:J50)</f>
        <v>665738.23999999999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842524.98</v>
      </c>
      <c r="G52" s="41">
        <f>G51+G32</f>
        <v>139487.21</v>
      </c>
      <c r="H52" s="41">
        <f>H51+H32</f>
        <v>233716.25</v>
      </c>
      <c r="I52" s="41">
        <f>I51+I32</f>
        <v>0</v>
      </c>
      <c r="J52" s="41">
        <f>J51+J32</f>
        <v>665738.23999999999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4300092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4300092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179.47</v>
      </c>
      <c r="G96" s="18">
        <v>4.47</v>
      </c>
      <c r="H96" s="18"/>
      <c r="I96" s="18"/>
      <c r="J96" s="18">
        <v>5115.03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79093.39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302838.64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2250</v>
      </c>
      <c r="G110" s="18"/>
      <c r="H110" s="18"/>
      <c r="I110" s="18"/>
      <c r="J110" s="18">
        <v>22495.65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2429.4699999999998</v>
      </c>
      <c r="G111" s="41">
        <f>SUM(G96:G110)</f>
        <v>79097.86</v>
      </c>
      <c r="H111" s="41">
        <f>SUM(H96:H110)</f>
        <v>302838.64</v>
      </c>
      <c r="I111" s="41">
        <f>SUM(I96:I110)</f>
        <v>0</v>
      </c>
      <c r="J111" s="41">
        <f>SUM(J96:J110)</f>
        <v>27610.68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4302521.47</v>
      </c>
      <c r="G112" s="41">
        <f>G60+G111</f>
        <v>79097.86</v>
      </c>
      <c r="H112" s="41">
        <f>H60+H79+H94+H111</f>
        <v>302838.64</v>
      </c>
      <c r="I112" s="41">
        <f>I60+I111</f>
        <v>0</v>
      </c>
      <c r="J112" s="41">
        <f>J60+J111</f>
        <v>27610.68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4066186.87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553647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4619833.87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89923.26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152252.26999999999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3585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3867.01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245760.52999999997</v>
      </c>
      <c r="G136" s="41">
        <f>SUM(G123:G135)</f>
        <v>3867.01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4865594.4000000004</v>
      </c>
      <c r="G140" s="41">
        <f>G121+SUM(G136:G137)</f>
        <v>3867.01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>
        <v>23148.81</v>
      </c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23148.81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314713.67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62789.35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204199.08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145982.44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156598.22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156598.22</v>
      </c>
      <c r="G162" s="41">
        <f>SUM(G150:G161)</f>
        <v>204199.08</v>
      </c>
      <c r="H162" s="41">
        <f>SUM(H150:H161)</f>
        <v>523485.45999999996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156598.22</v>
      </c>
      <c r="G169" s="41">
        <f>G147+G162+SUM(G163:G168)</f>
        <v>204199.08</v>
      </c>
      <c r="H169" s="41">
        <f>H147+H162+SUM(H163:H168)</f>
        <v>546634.27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12830.46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1519.2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1519.2</v>
      </c>
      <c r="G183" s="41">
        <f>SUM(G179:G182)</f>
        <v>12830.46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1519.2</v>
      </c>
      <c r="G192" s="41">
        <f>G183+SUM(G188:G191)</f>
        <v>12830.46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9326233.290000001</v>
      </c>
      <c r="G193" s="47">
        <f>G112+G140+G169+G192</f>
        <v>299994.40999999997</v>
      </c>
      <c r="H193" s="47">
        <f>H112+H140+H169+H192</f>
        <v>849472.91</v>
      </c>
      <c r="I193" s="47">
        <f>I112+I140+I169+I192</f>
        <v>0</v>
      </c>
      <c r="J193" s="47">
        <f>J112+J140+J192</f>
        <v>27610.68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994858.82</v>
      </c>
      <c r="G197" s="18">
        <v>551602.72</v>
      </c>
      <c r="H197" s="18">
        <v>1164.92</v>
      </c>
      <c r="I197" s="18">
        <v>19710.04</v>
      </c>
      <c r="J197" s="18">
        <v>2001.04</v>
      </c>
      <c r="K197" s="18">
        <v>6075.07</v>
      </c>
      <c r="L197" s="19">
        <f>SUM(F197:K197)</f>
        <v>1575412.61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558291.74</v>
      </c>
      <c r="G198" s="18">
        <v>219624.74</v>
      </c>
      <c r="H198" s="18">
        <v>156941.03</v>
      </c>
      <c r="I198" s="18">
        <v>485.74</v>
      </c>
      <c r="J198" s="18"/>
      <c r="K198" s="18">
        <v>218.34</v>
      </c>
      <c r="L198" s="19">
        <f>SUM(F198:K198)</f>
        <v>935561.59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700</v>
      </c>
      <c r="G200" s="18">
        <v>157.99</v>
      </c>
      <c r="H200" s="18"/>
      <c r="I200" s="18"/>
      <c r="J200" s="18"/>
      <c r="K200" s="18"/>
      <c r="L200" s="19">
        <f>SUM(F200:K200)</f>
        <v>857.99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117770.08</v>
      </c>
      <c r="G202" s="18">
        <v>76935.710000000006</v>
      </c>
      <c r="H202" s="18">
        <v>243083.02</v>
      </c>
      <c r="I202" s="18">
        <v>2723.18</v>
      </c>
      <c r="J202" s="18"/>
      <c r="K202" s="18">
        <v>205</v>
      </c>
      <c r="L202" s="19">
        <f t="shared" ref="L202:L208" si="0">SUM(F202:K202)</f>
        <v>440716.99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93237.08</v>
      </c>
      <c r="G203" s="18">
        <v>41305.43</v>
      </c>
      <c r="H203" s="18">
        <v>43077.83</v>
      </c>
      <c r="I203" s="18">
        <v>27106.87</v>
      </c>
      <c r="J203" s="18">
        <v>49846.5</v>
      </c>
      <c r="K203" s="18"/>
      <c r="L203" s="19">
        <f t="shared" si="0"/>
        <v>254573.71000000002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107573.05</v>
      </c>
      <c r="G204" s="18">
        <v>62110.61</v>
      </c>
      <c r="H204" s="18">
        <v>24784.2</v>
      </c>
      <c r="I204" s="18">
        <v>2471</v>
      </c>
      <c r="J204" s="18"/>
      <c r="K204" s="18">
        <v>3944.91</v>
      </c>
      <c r="L204" s="19">
        <f t="shared" si="0"/>
        <v>200883.77000000002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295340.53000000003</v>
      </c>
      <c r="G205" s="18">
        <v>136656.81</v>
      </c>
      <c r="H205" s="18">
        <v>16437.72</v>
      </c>
      <c r="I205" s="18">
        <v>3143.37</v>
      </c>
      <c r="J205" s="18"/>
      <c r="K205" s="18">
        <v>934.21</v>
      </c>
      <c r="L205" s="19">
        <f t="shared" si="0"/>
        <v>452512.64000000007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106264.82</v>
      </c>
      <c r="G207" s="18">
        <v>80144.55</v>
      </c>
      <c r="H207" s="18">
        <v>118297.36</v>
      </c>
      <c r="I207" s="18">
        <v>68701.56</v>
      </c>
      <c r="J207" s="18">
        <v>11060.12</v>
      </c>
      <c r="K207" s="18"/>
      <c r="L207" s="19">
        <f t="shared" si="0"/>
        <v>384468.41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240100.71</v>
      </c>
      <c r="I208" s="18"/>
      <c r="J208" s="18"/>
      <c r="K208" s="18"/>
      <c r="L208" s="19">
        <f t="shared" si="0"/>
        <v>240100.71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2274036.12</v>
      </c>
      <c r="G211" s="41">
        <f t="shared" si="1"/>
        <v>1168538.56</v>
      </c>
      <c r="H211" s="41">
        <f t="shared" si="1"/>
        <v>843886.78999999992</v>
      </c>
      <c r="I211" s="41">
        <f t="shared" si="1"/>
        <v>124341.76000000001</v>
      </c>
      <c r="J211" s="41">
        <f t="shared" si="1"/>
        <v>62907.66</v>
      </c>
      <c r="K211" s="41">
        <f t="shared" si="1"/>
        <v>11377.529999999999</v>
      </c>
      <c r="L211" s="41">
        <f t="shared" si="1"/>
        <v>4485088.4200000009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294466.96000000002</v>
      </c>
      <c r="G215" s="18">
        <v>143471.01</v>
      </c>
      <c r="H215" s="18"/>
      <c r="I215" s="18">
        <v>14910</v>
      </c>
      <c r="J215" s="18"/>
      <c r="K215" s="18">
        <v>1119.1199999999999</v>
      </c>
      <c r="L215" s="19">
        <f>SUM(F215:K215)</f>
        <v>453967.09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148399.18</v>
      </c>
      <c r="G216" s="18">
        <v>64992.72</v>
      </c>
      <c r="H216" s="18">
        <v>39207.67</v>
      </c>
      <c r="I216" s="18">
        <v>183.49</v>
      </c>
      <c r="J216" s="18"/>
      <c r="K216" s="18">
        <v>218.33</v>
      </c>
      <c r="L216" s="19">
        <f>SUM(F216:K216)</f>
        <v>253001.38999999998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9541.4</v>
      </c>
      <c r="G218" s="18">
        <v>1269.51</v>
      </c>
      <c r="H218" s="18">
        <v>2787.76</v>
      </c>
      <c r="I218" s="18">
        <v>1874.48</v>
      </c>
      <c r="J218" s="18"/>
      <c r="K218" s="18">
        <v>195</v>
      </c>
      <c r="L218" s="19">
        <f>SUM(F218:K218)</f>
        <v>15668.15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64972.6</v>
      </c>
      <c r="G220" s="18">
        <v>35919.74</v>
      </c>
      <c r="H220" s="18">
        <v>17076.32</v>
      </c>
      <c r="I220" s="18">
        <v>1276.21</v>
      </c>
      <c r="J220" s="18"/>
      <c r="K220" s="18">
        <v>44.64</v>
      </c>
      <c r="L220" s="19">
        <f t="shared" ref="L220:L226" si="2">SUM(F220:K220)</f>
        <v>119289.51000000001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40119.61</v>
      </c>
      <c r="G221" s="18">
        <v>20201.490000000002</v>
      </c>
      <c r="H221" s="18">
        <v>8148.74</v>
      </c>
      <c r="I221" s="18">
        <v>8482.7099999999991</v>
      </c>
      <c r="J221" s="18">
        <v>4615.3</v>
      </c>
      <c r="K221" s="18"/>
      <c r="L221" s="19">
        <f t="shared" si="2"/>
        <v>81567.85000000002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29338.1</v>
      </c>
      <c r="G222" s="18">
        <v>17726.43</v>
      </c>
      <c r="H222" s="18">
        <v>6759.31</v>
      </c>
      <c r="I222" s="18">
        <v>673.9</v>
      </c>
      <c r="J222" s="18"/>
      <c r="K222" s="18">
        <v>1075.8800000000001</v>
      </c>
      <c r="L222" s="19">
        <f t="shared" si="2"/>
        <v>55573.619999999995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79128.69</v>
      </c>
      <c r="G223" s="18">
        <v>29465.71</v>
      </c>
      <c r="H223" s="18">
        <v>8813.86</v>
      </c>
      <c r="I223" s="18">
        <v>1854.64</v>
      </c>
      <c r="J223" s="18"/>
      <c r="K223" s="18">
        <v>337.22</v>
      </c>
      <c r="L223" s="19">
        <f t="shared" si="2"/>
        <v>119600.12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44360.39</v>
      </c>
      <c r="G225" s="18">
        <v>32464.240000000002</v>
      </c>
      <c r="H225" s="18">
        <v>39166.120000000003</v>
      </c>
      <c r="I225" s="18">
        <v>47833.25</v>
      </c>
      <c r="J225" s="18">
        <v>1646.02</v>
      </c>
      <c r="K225" s="18"/>
      <c r="L225" s="19">
        <f t="shared" si="2"/>
        <v>165470.01999999999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56425.58</v>
      </c>
      <c r="I226" s="18"/>
      <c r="J226" s="18"/>
      <c r="K226" s="18"/>
      <c r="L226" s="19">
        <f t="shared" si="2"/>
        <v>56425.58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710326.93</v>
      </c>
      <c r="G229" s="41">
        <f>SUM(G215:G228)</f>
        <v>345510.85000000003</v>
      </c>
      <c r="H229" s="41">
        <f>SUM(H215:H228)</f>
        <v>178385.36</v>
      </c>
      <c r="I229" s="41">
        <f>SUM(I215:I228)</f>
        <v>77088.679999999993</v>
      </c>
      <c r="J229" s="41">
        <f>SUM(J215:J228)</f>
        <v>6261.32</v>
      </c>
      <c r="K229" s="41">
        <f t="shared" si="3"/>
        <v>2990.1900000000005</v>
      </c>
      <c r="L229" s="41">
        <f t="shared" si="3"/>
        <v>1320563.33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757777.17</v>
      </c>
      <c r="G233" s="18">
        <v>405197.45</v>
      </c>
      <c r="H233" s="18">
        <v>3703.96</v>
      </c>
      <c r="I233" s="18">
        <v>50000.72</v>
      </c>
      <c r="J233" s="18"/>
      <c r="K233" s="18">
        <v>4656.3</v>
      </c>
      <c r="L233" s="19">
        <f>SUM(F233:K233)</f>
        <v>1221335.6000000001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323755.94</v>
      </c>
      <c r="G234" s="18">
        <v>138821.07</v>
      </c>
      <c r="H234" s="18">
        <v>469857.93</v>
      </c>
      <c r="I234" s="18">
        <v>1160.7</v>
      </c>
      <c r="J234" s="18"/>
      <c r="K234" s="18">
        <v>303.33</v>
      </c>
      <c r="L234" s="19">
        <f>SUM(F234:K234)</f>
        <v>933898.96999999986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30282.86</v>
      </c>
      <c r="I235" s="18"/>
      <c r="J235" s="18"/>
      <c r="K235" s="18"/>
      <c r="L235" s="19">
        <f>SUM(F235:K235)</f>
        <v>30282.86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43752.6</v>
      </c>
      <c r="G236" s="18">
        <v>5811.86</v>
      </c>
      <c r="H236" s="18">
        <v>16188.24</v>
      </c>
      <c r="I236" s="18">
        <v>12460.09</v>
      </c>
      <c r="J236" s="18"/>
      <c r="K236" s="18">
        <v>6900</v>
      </c>
      <c r="L236" s="19">
        <f>SUM(F236:K236)</f>
        <v>85112.79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120939.66</v>
      </c>
      <c r="G238" s="18">
        <v>67174.3</v>
      </c>
      <c r="H238" s="18">
        <v>76116.14</v>
      </c>
      <c r="I238" s="18">
        <v>4438.22</v>
      </c>
      <c r="J238" s="18"/>
      <c r="K238" s="18">
        <v>451.86</v>
      </c>
      <c r="L238" s="19">
        <f t="shared" ref="L238:L244" si="4">SUM(F238:K238)</f>
        <v>269120.18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76156.78</v>
      </c>
      <c r="G239" s="18">
        <v>44204.65</v>
      </c>
      <c r="H239" s="18">
        <v>15768.68</v>
      </c>
      <c r="I239" s="18">
        <v>16147.41</v>
      </c>
      <c r="J239" s="18">
        <v>8471.23</v>
      </c>
      <c r="K239" s="18">
        <v>35.950000000000003</v>
      </c>
      <c r="L239" s="19">
        <f t="shared" si="4"/>
        <v>160784.70000000001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58676.21</v>
      </c>
      <c r="G240" s="18">
        <v>34943.54</v>
      </c>
      <c r="H240" s="18">
        <v>13518.65</v>
      </c>
      <c r="I240" s="18">
        <v>1347.82</v>
      </c>
      <c r="J240" s="18"/>
      <c r="K240" s="18">
        <v>2151.7800000000002</v>
      </c>
      <c r="L240" s="19">
        <f t="shared" si="4"/>
        <v>110638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146957.9</v>
      </c>
      <c r="G241" s="18">
        <v>63460.23</v>
      </c>
      <c r="H241" s="18">
        <v>17913.82</v>
      </c>
      <c r="I241" s="18">
        <v>4165.2</v>
      </c>
      <c r="J241" s="18"/>
      <c r="K241" s="18">
        <v>1208.54</v>
      </c>
      <c r="L241" s="19">
        <f t="shared" si="4"/>
        <v>233705.69000000003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82394.39</v>
      </c>
      <c r="G243" s="18">
        <v>59936.46</v>
      </c>
      <c r="H243" s="18">
        <v>72817.58</v>
      </c>
      <c r="I243" s="18">
        <v>88316.43</v>
      </c>
      <c r="J243" s="18">
        <v>3056.88</v>
      </c>
      <c r="K243" s="18"/>
      <c r="L243" s="19">
        <f t="shared" si="4"/>
        <v>306521.74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263362.40999999997</v>
      </c>
      <c r="I244" s="18"/>
      <c r="J244" s="18"/>
      <c r="K244" s="18"/>
      <c r="L244" s="19">
        <f t="shared" si="4"/>
        <v>263362.40999999997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1610410.65</v>
      </c>
      <c r="G247" s="41">
        <f t="shared" si="5"/>
        <v>819549.56</v>
      </c>
      <c r="H247" s="41">
        <f t="shared" si="5"/>
        <v>979530.27</v>
      </c>
      <c r="I247" s="41">
        <f t="shared" si="5"/>
        <v>178036.59</v>
      </c>
      <c r="J247" s="41">
        <f t="shared" si="5"/>
        <v>11528.11</v>
      </c>
      <c r="K247" s="41">
        <f t="shared" si="5"/>
        <v>15707.760000000002</v>
      </c>
      <c r="L247" s="41">
        <f t="shared" si="5"/>
        <v>3614762.9400000004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>
        <v>7000</v>
      </c>
      <c r="G250" s="18"/>
      <c r="H250" s="18"/>
      <c r="I250" s="18"/>
      <c r="J250" s="18"/>
      <c r="K250" s="18"/>
      <c r="L250" s="19">
        <f t="shared" ref="L250:L255" si="6">SUM(F250:K250)</f>
        <v>7000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7000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7000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4601773.7</v>
      </c>
      <c r="G257" s="41">
        <f t="shared" si="8"/>
        <v>2333598.9700000002</v>
      </c>
      <c r="H257" s="41">
        <f t="shared" si="8"/>
        <v>2001802.42</v>
      </c>
      <c r="I257" s="41">
        <f t="shared" si="8"/>
        <v>379467.03</v>
      </c>
      <c r="J257" s="41">
        <f t="shared" si="8"/>
        <v>80697.090000000011</v>
      </c>
      <c r="K257" s="41">
        <f t="shared" si="8"/>
        <v>30075.480000000003</v>
      </c>
      <c r="L257" s="41">
        <f t="shared" si="8"/>
        <v>9427414.6900000013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265000</v>
      </c>
      <c r="L260" s="19">
        <f>SUM(F260:K260)</f>
        <v>265000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60287.5</v>
      </c>
      <c r="L261" s="19">
        <f>SUM(F261:K261)</f>
        <v>60287.5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12830.46</v>
      </c>
      <c r="L263" s="19">
        <f>SUM(F263:K263)</f>
        <v>12830.46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338117.96</v>
      </c>
      <c r="L270" s="41">
        <f t="shared" si="9"/>
        <v>338117.96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4601773.7</v>
      </c>
      <c r="G271" s="42">
        <f t="shared" si="11"/>
        <v>2333598.9700000002</v>
      </c>
      <c r="H271" s="42">
        <f t="shared" si="11"/>
        <v>2001802.42</v>
      </c>
      <c r="I271" s="42">
        <f t="shared" si="11"/>
        <v>379467.03</v>
      </c>
      <c r="J271" s="42">
        <f t="shared" si="11"/>
        <v>80697.090000000011</v>
      </c>
      <c r="K271" s="42">
        <f t="shared" si="11"/>
        <v>368193.44</v>
      </c>
      <c r="L271" s="42">
        <f t="shared" si="11"/>
        <v>9765532.6500000022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109807.69</v>
      </c>
      <c r="G276" s="18">
        <v>56445.22</v>
      </c>
      <c r="H276" s="18">
        <v>2391.1</v>
      </c>
      <c r="I276" s="18">
        <v>16756.18</v>
      </c>
      <c r="J276" s="18">
        <v>126.05</v>
      </c>
      <c r="K276" s="18">
        <v>91.36</v>
      </c>
      <c r="L276" s="19">
        <f>SUM(F276:K276)</f>
        <v>185617.59999999998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4514.22</v>
      </c>
      <c r="G277" s="18">
        <v>399.65</v>
      </c>
      <c r="H277" s="18">
        <v>4817</v>
      </c>
      <c r="I277" s="18">
        <v>744.12</v>
      </c>
      <c r="J277" s="18">
        <v>1349.99</v>
      </c>
      <c r="K277" s="18"/>
      <c r="L277" s="19">
        <f>SUM(F277:K277)</f>
        <v>11824.98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2359</v>
      </c>
      <c r="G279" s="18">
        <v>1035.31</v>
      </c>
      <c r="H279" s="18">
        <v>14713.82</v>
      </c>
      <c r="I279" s="18"/>
      <c r="J279" s="18"/>
      <c r="K279" s="18"/>
      <c r="L279" s="19">
        <f>SUM(F279:K279)</f>
        <v>18108.13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20409.68</v>
      </c>
      <c r="G281" s="18">
        <v>13501.85</v>
      </c>
      <c r="H281" s="18">
        <v>17224.98</v>
      </c>
      <c r="I281" s="18">
        <v>605.82000000000005</v>
      </c>
      <c r="J281" s="18"/>
      <c r="K281" s="18"/>
      <c r="L281" s="19">
        <f t="shared" ref="L281:L287" si="12">SUM(F281:K281)</f>
        <v>51742.329999999994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31884.959999999999</v>
      </c>
      <c r="G282" s="18">
        <v>13195.78</v>
      </c>
      <c r="H282" s="18">
        <v>22242.99</v>
      </c>
      <c r="I282" s="18">
        <v>20845.12</v>
      </c>
      <c r="J282" s="18">
        <v>24029.14</v>
      </c>
      <c r="K282" s="18"/>
      <c r="L282" s="19">
        <f t="shared" si="12"/>
        <v>112197.98999999999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34637.5</v>
      </c>
      <c r="G284" s="18">
        <v>8138.72</v>
      </c>
      <c r="H284" s="18"/>
      <c r="I284" s="18"/>
      <c r="J284" s="18"/>
      <c r="K284" s="18"/>
      <c r="L284" s="19">
        <f t="shared" si="12"/>
        <v>42776.22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>
        <v>11574.4</v>
      </c>
      <c r="I286" s="18"/>
      <c r="J286" s="18"/>
      <c r="K286" s="18"/>
      <c r="L286" s="19">
        <f t="shared" si="12"/>
        <v>11574.4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1400</v>
      </c>
      <c r="I287" s="18"/>
      <c r="J287" s="18"/>
      <c r="K287" s="18"/>
      <c r="L287" s="19">
        <f t="shared" si="12"/>
        <v>1400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203613.05</v>
      </c>
      <c r="G290" s="42">
        <f t="shared" si="13"/>
        <v>92716.53</v>
      </c>
      <c r="H290" s="42">
        <f t="shared" si="13"/>
        <v>74364.289999999994</v>
      </c>
      <c r="I290" s="42">
        <f t="shared" si="13"/>
        <v>38951.24</v>
      </c>
      <c r="J290" s="42">
        <f t="shared" si="13"/>
        <v>25505.18</v>
      </c>
      <c r="K290" s="42">
        <f t="shared" si="13"/>
        <v>91.36</v>
      </c>
      <c r="L290" s="41">
        <f t="shared" si="13"/>
        <v>435241.65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13671.49</v>
      </c>
      <c r="G296" s="18">
        <v>2932.96</v>
      </c>
      <c r="H296" s="18">
        <v>608.03</v>
      </c>
      <c r="I296" s="18"/>
      <c r="J296" s="18"/>
      <c r="K296" s="18"/>
      <c r="L296" s="19">
        <f>SUM(F296:K296)</f>
        <v>17212.48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15536.3</v>
      </c>
      <c r="G300" s="18">
        <v>4926.08</v>
      </c>
      <c r="H300" s="18">
        <v>1834.94</v>
      </c>
      <c r="I300" s="18">
        <v>57.49</v>
      </c>
      <c r="J300" s="18"/>
      <c r="K300" s="18"/>
      <c r="L300" s="19">
        <f t="shared" ref="L300:L306" si="14">SUM(F300:K300)</f>
        <v>22354.809999999998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8161.99</v>
      </c>
      <c r="G301" s="18">
        <v>3809.75</v>
      </c>
      <c r="H301" s="18">
        <v>443.72</v>
      </c>
      <c r="I301" s="18">
        <v>303.45</v>
      </c>
      <c r="J301" s="18"/>
      <c r="K301" s="18"/>
      <c r="L301" s="19">
        <f t="shared" si="14"/>
        <v>12718.91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>
        <v>4051.04</v>
      </c>
      <c r="I305" s="18"/>
      <c r="J305" s="18"/>
      <c r="K305" s="18"/>
      <c r="L305" s="19">
        <f t="shared" si="14"/>
        <v>4051.04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37369.78</v>
      </c>
      <c r="G309" s="42">
        <f t="shared" si="15"/>
        <v>11668.79</v>
      </c>
      <c r="H309" s="42">
        <f t="shared" si="15"/>
        <v>6937.7300000000005</v>
      </c>
      <c r="I309" s="42">
        <f t="shared" si="15"/>
        <v>360.94</v>
      </c>
      <c r="J309" s="42">
        <f t="shared" si="15"/>
        <v>0</v>
      </c>
      <c r="K309" s="42">
        <f t="shared" si="15"/>
        <v>0</v>
      </c>
      <c r="L309" s="41">
        <f t="shared" si="15"/>
        <v>56337.24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24986.5</v>
      </c>
      <c r="G314" s="18">
        <v>17982.060000000001</v>
      </c>
      <c r="H314" s="18">
        <v>1900</v>
      </c>
      <c r="I314" s="18">
        <v>6054.14</v>
      </c>
      <c r="J314" s="18"/>
      <c r="K314" s="18">
        <v>425</v>
      </c>
      <c r="L314" s="19">
        <f>SUM(F314:K314)</f>
        <v>51347.7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10644.22</v>
      </c>
      <c r="G315" s="18">
        <v>947.51</v>
      </c>
      <c r="H315" s="18">
        <v>3021.21</v>
      </c>
      <c r="I315" s="18"/>
      <c r="J315" s="18">
        <v>966</v>
      </c>
      <c r="K315" s="18"/>
      <c r="L315" s="19">
        <f>SUM(F315:K315)</f>
        <v>15578.939999999999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12650</v>
      </c>
      <c r="G317" s="18">
        <v>2884.56</v>
      </c>
      <c r="H317" s="18">
        <v>2740.79</v>
      </c>
      <c r="I317" s="18">
        <v>935.79</v>
      </c>
      <c r="J317" s="18"/>
      <c r="K317" s="18"/>
      <c r="L317" s="19">
        <f>SUM(F317:K317)</f>
        <v>19211.14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6031.5</v>
      </c>
      <c r="G319" s="18">
        <v>7693.43</v>
      </c>
      <c r="H319" s="18">
        <v>7682.82</v>
      </c>
      <c r="I319" s="18">
        <v>339.87</v>
      </c>
      <c r="J319" s="18"/>
      <c r="K319" s="18"/>
      <c r="L319" s="19">
        <f t="shared" ref="L319:L325" si="16">SUM(F319:K319)</f>
        <v>21747.62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25345.14</v>
      </c>
      <c r="G320" s="18">
        <v>8980.2900000000009</v>
      </c>
      <c r="H320" s="18">
        <v>74891.83</v>
      </c>
      <c r="I320" s="18">
        <v>7660.49</v>
      </c>
      <c r="J320" s="18">
        <v>27228</v>
      </c>
      <c r="K320" s="18"/>
      <c r="L320" s="19">
        <f t="shared" si="16"/>
        <v>144105.75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41599.089999999997</v>
      </c>
      <c r="G321" s="18">
        <v>2906.91</v>
      </c>
      <c r="H321" s="18"/>
      <c r="I321" s="18"/>
      <c r="J321" s="18"/>
      <c r="K321" s="18"/>
      <c r="L321" s="19">
        <f t="shared" si="16"/>
        <v>44506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46923.64</v>
      </c>
      <c r="G322" s="18">
        <v>3887.61</v>
      </c>
      <c r="H322" s="18"/>
      <c r="I322" s="18"/>
      <c r="J322" s="18"/>
      <c r="K322" s="18"/>
      <c r="L322" s="19">
        <f t="shared" si="16"/>
        <v>50811.25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>
        <v>7523.37</v>
      </c>
      <c r="I324" s="18"/>
      <c r="J324" s="18"/>
      <c r="K324" s="18"/>
      <c r="L324" s="19">
        <f t="shared" si="16"/>
        <v>7523.37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1543.05</v>
      </c>
      <c r="I325" s="18"/>
      <c r="J325" s="18"/>
      <c r="K325" s="18"/>
      <c r="L325" s="19">
        <f t="shared" si="16"/>
        <v>1543.05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168180.09</v>
      </c>
      <c r="G328" s="42">
        <f t="shared" si="17"/>
        <v>45282.37000000001</v>
      </c>
      <c r="H328" s="42">
        <f t="shared" si="17"/>
        <v>99303.069999999992</v>
      </c>
      <c r="I328" s="42">
        <f t="shared" si="17"/>
        <v>14990.29</v>
      </c>
      <c r="J328" s="42">
        <f t="shared" si="17"/>
        <v>28194</v>
      </c>
      <c r="K328" s="42">
        <f t="shared" si="17"/>
        <v>425</v>
      </c>
      <c r="L328" s="41">
        <f t="shared" si="17"/>
        <v>356374.82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409162.92</v>
      </c>
      <c r="G338" s="41">
        <f t="shared" si="20"/>
        <v>149667.69</v>
      </c>
      <c r="H338" s="41">
        <f t="shared" si="20"/>
        <v>180605.08999999997</v>
      </c>
      <c r="I338" s="41">
        <f t="shared" si="20"/>
        <v>54302.47</v>
      </c>
      <c r="J338" s="41">
        <f t="shared" si="20"/>
        <v>53699.18</v>
      </c>
      <c r="K338" s="41">
        <f t="shared" si="20"/>
        <v>516.36</v>
      </c>
      <c r="L338" s="41">
        <f t="shared" si="20"/>
        <v>847953.71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1519.2</v>
      </c>
      <c r="L344" s="19">
        <f t="shared" ref="L344:L350" si="21">SUM(F344:K344)</f>
        <v>1519.2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1519.2</v>
      </c>
      <c r="L351" s="41">
        <f>SUM(L341:L350)</f>
        <v>1519.2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409162.92</v>
      </c>
      <c r="G352" s="41">
        <f>G338</f>
        <v>149667.69</v>
      </c>
      <c r="H352" s="41">
        <f>H338</f>
        <v>180605.08999999997</v>
      </c>
      <c r="I352" s="41">
        <f>I338</f>
        <v>54302.47</v>
      </c>
      <c r="J352" s="41">
        <f>J338</f>
        <v>53699.18</v>
      </c>
      <c r="K352" s="47">
        <f>K338+K351</f>
        <v>2035.56</v>
      </c>
      <c r="L352" s="41">
        <f>L338+L351</f>
        <v>849472.90999999992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120923.1</v>
      </c>
      <c r="I358" s="18">
        <v>9561.7199999999993</v>
      </c>
      <c r="J358" s="18">
        <v>2225.4299999999998</v>
      </c>
      <c r="K358" s="18"/>
      <c r="L358" s="13">
        <f>SUM(F358:K358)</f>
        <v>132710.25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v>48369.24</v>
      </c>
      <c r="I359" s="18">
        <v>3122.2</v>
      </c>
      <c r="J359" s="18"/>
      <c r="K359" s="18"/>
      <c r="L359" s="19">
        <f>SUM(F359:K359)</f>
        <v>51491.439999999995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v>99425.66</v>
      </c>
      <c r="I360" s="18">
        <v>6829.8</v>
      </c>
      <c r="J360" s="18"/>
      <c r="K360" s="18"/>
      <c r="L360" s="19">
        <f>SUM(F360:K360)</f>
        <v>106255.46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268718</v>
      </c>
      <c r="I362" s="47">
        <f t="shared" si="22"/>
        <v>19513.719999999998</v>
      </c>
      <c r="J362" s="47">
        <f t="shared" si="22"/>
        <v>2225.4299999999998</v>
      </c>
      <c r="K362" s="47">
        <f t="shared" si="22"/>
        <v>0</v>
      </c>
      <c r="L362" s="47">
        <f t="shared" si="22"/>
        <v>290457.15000000002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11078.87</v>
      </c>
      <c r="G367" s="18">
        <v>2526.7600000000002</v>
      </c>
      <c r="H367" s="18">
        <v>5830.98</v>
      </c>
      <c r="I367" s="56">
        <f>SUM(F367:H367)</f>
        <v>19436.61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43.96</v>
      </c>
      <c r="G368" s="63">
        <v>10.02</v>
      </c>
      <c r="H368" s="63">
        <v>23.13</v>
      </c>
      <c r="I368" s="56">
        <f>SUM(F368:H368)</f>
        <v>77.11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11122.83</v>
      </c>
      <c r="G369" s="47">
        <f>SUM(G367:G368)</f>
        <v>2536.7800000000002</v>
      </c>
      <c r="H369" s="47">
        <f>SUM(H367:H368)</f>
        <v>5854.11</v>
      </c>
      <c r="I369" s="47">
        <f>SUM(I367:I368)</f>
        <v>19513.72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>
        <v>43.37</v>
      </c>
      <c r="I391" s="18"/>
      <c r="J391" s="24" t="s">
        <v>288</v>
      </c>
      <c r="K391" s="24" t="s">
        <v>288</v>
      </c>
      <c r="L391" s="56">
        <f t="shared" si="25"/>
        <v>43.37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43.37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43.37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514.29</v>
      </c>
      <c r="I396" s="18"/>
      <c r="J396" s="24" t="s">
        <v>288</v>
      </c>
      <c r="K396" s="24" t="s">
        <v>288</v>
      </c>
      <c r="L396" s="56">
        <f t="shared" si="26"/>
        <v>514.29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585.16</v>
      </c>
      <c r="I397" s="18"/>
      <c r="J397" s="24" t="s">
        <v>288</v>
      </c>
      <c r="K397" s="24" t="s">
        <v>288</v>
      </c>
      <c r="L397" s="56">
        <f t="shared" si="26"/>
        <v>585.16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>
        <v>7848.72</v>
      </c>
      <c r="J400" s="24" t="s">
        <v>288</v>
      </c>
      <c r="K400" s="24" t="s">
        <v>288</v>
      </c>
      <c r="L400" s="56">
        <f t="shared" si="26"/>
        <v>7848.72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1099.4499999999998</v>
      </c>
      <c r="I401" s="47">
        <f>SUM(I395:I400)</f>
        <v>7848.72</v>
      </c>
      <c r="J401" s="45" t="s">
        <v>288</v>
      </c>
      <c r="K401" s="45" t="s">
        <v>288</v>
      </c>
      <c r="L401" s="47">
        <f>SUM(L395:L400)</f>
        <v>8948.17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 t="s">
        <v>915</v>
      </c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>
        <v>3972.21</v>
      </c>
      <c r="I403" s="18">
        <v>14646.93</v>
      </c>
      <c r="J403" s="24" t="s">
        <v>288</v>
      </c>
      <c r="K403" s="24" t="s">
        <v>288</v>
      </c>
      <c r="L403" s="56">
        <f>SUM(F403:K403)</f>
        <v>18619.14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3972.21</v>
      </c>
      <c r="I407" s="47">
        <f>SUM(I403:I406)</f>
        <v>14646.93</v>
      </c>
      <c r="J407" s="49" t="s">
        <v>288</v>
      </c>
      <c r="K407" s="49" t="s">
        <v>288</v>
      </c>
      <c r="L407" s="47">
        <f>SUM(L403:L406)</f>
        <v>18619.14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5115.03</v>
      </c>
      <c r="I408" s="47">
        <f>I393+I401+I407</f>
        <v>22495.65</v>
      </c>
      <c r="J408" s="24" t="s">
        <v>288</v>
      </c>
      <c r="K408" s="24" t="s">
        <v>288</v>
      </c>
      <c r="L408" s="47">
        <f>L393+L401+L407</f>
        <v>27610.68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v>7714.46</v>
      </c>
      <c r="I426" s="18"/>
      <c r="J426" s="18"/>
      <c r="K426" s="18">
        <v>7848.72</v>
      </c>
      <c r="L426" s="56">
        <f t="shared" si="29"/>
        <v>15563.18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7714.46</v>
      </c>
      <c r="I427" s="47">
        <f t="shared" si="30"/>
        <v>0</v>
      </c>
      <c r="J427" s="47">
        <f t="shared" si="30"/>
        <v>0</v>
      </c>
      <c r="K427" s="47">
        <f t="shared" si="30"/>
        <v>7848.72</v>
      </c>
      <c r="L427" s="47">
        <f t="shared" si="30"/>
        <v>15563.18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915</v>
      </c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>
        <v>5071.4399999999996</v>
      </c>
      <c r="J429" s="18"/>
      <c r="K429" s="18"/>
      <c r="L429" s="56">
        <f>SUM(F429:K429)</f>
        <v>5071.4399999999996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5071.4399999999996</v>
      </c>
      <c r="J433" s="47">
        <f t="shared" si="31"/>
        <v>0</v>
      </c>
      <c r="K433" s="47">
        <f t="shared" si="31"/>
        <v>0</v>
      </c>
      <c r="L433" s="47">
        <f t="shared" si="31"/>
        <v>5071.4399999999996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7714.46</v>
      </c>
      <c r="I434" s="47">
        <f t="shared" si="32"/>
        <v>5071.4399999999996</v>
      </c>
      <c r="J434" s="47">
        <f t="shared" si="32"/>
        <v>0</v>
      </c>
      <c r="K434" s="47">
        <f t="shared" si="32"/>
        <v>7848.72</v>
      </c>
      <c r="L434" s="47">
        <f t="shared" si="32"/>
        <v>20634.62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>
        <v>203832.59</v>
      </c>
      <c r="I440" s="56">
        <f t="shared" si="33"/>
        <v>203832.59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16710.36</v>
      </c>
      <c r="G442" s="18">
        <v>445195.29</v>
      </c>
      <c r="H442" s="18"/>
      <c r="I442" s="56">
        <f t="shared" si="33"/>
        <v>461905.64999999997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16710.36</v>
      </c>
      <c r="G446" s="13">
        <f>SUM(G439:G445)</f>
        <v>445195.29</v>
      </c>
      <c r="H446" s="13">
        <f>SUM(H439:H445)</f>
        <v>203832.59</v>
      </c>
      <c r="I446" s="13">
        <f>SUM(I439:I445)</f>
        <v>665738.23999999999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>
        <v>203832.59</v>
      </c>
      <c r="I457" s="56">
        <f t="shared" si="34"/>
        <v>203832.59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16710.36</v>
      </c>
      <c r="G459" s="18">
        <v>445195.29</v>
      </c>
      <c r="H459" s="18"/>
      <c r="I459" s="56">
        <f t="shared" si="34"/>
        <v>461905.64999999997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16710.36</v>
      </c>
      <c r="G460" s="83">
        <f>SUM(G454:G459)</f>
        <v>445195.29</v>
      </c>
      <c r="H460" s="83">
        <f>SUM(H454:H459)</f>
        <v>203832.59</v>
      </c>
      <c r="I460" s="83">
        <f>SUM(I454:I459)</f>
        <v>665738.23999999999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16710.36</v>
      </c>
      <c r="G461" s="42">
        <f>G452+G460</f>
        <v>445195.29</v>
      </c>
      <c r="H461" s="42">
        <f>H452+H460</f>
        <v>203832.59</v>
      </c>
      <c r="I461" s="42">
        <f>I452+I460</f>
        <v>665738.23999999999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518228.3</v>
      </c>
      <c r="G465" s="18">
        <v>7284.91</v>
      </c>
      <c r="H465" s="18">
        <v>0</v>
      </c>
      <c r="I465" s="18"/>
      <c r="J465" s="18">
        <v>658762.18000000005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9326233.290000001</v>
      </c>
      <c r="G468" s="18">
        <f>G193</f>
        <v>299994.40999999997</v>
      </c>
      <c r="H468" s="18">
        <f>H193</f>
        <v>849472.91</v>
      </c>
      <c r="I468" s="18"/>
      <c r="J468" s="18">
        <f>J193</f>
        <v>27610.68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9326233.290000001</v>
      </c>
      <c r="G470" s="53">
        <f>SUM(G468:G469)</f>
        <v>299994.40999999997</v>
      </c>
      <c r="H470" s="53">
        <f>SUM(H468:H469)</f>
        <v>849472.91</v>
      </c>
      <c r="I470" s="53">
        <f>SUM(I468:I469)</f>
        <v>0</v>
      </c>
      <c r="J470" s="53">
        <f>SUM(J468:J469)</f>
        <v>27610.68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9765532.6500000022</v>
      </c>
      <c r="G472" s="18">
        <f>L362</f>
        <v>290457.15000000002</v>
      </c>
      <c r="H472" s="18">
        <f>L352</f>
        <v>849472.90999999992</v>
      </c>
      <c r="I472" s="18"/>
      <c r="J472" s="18">
        <f>L434</f>
        <v>20634.62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9765532.6500000022</v>
      </c>
      <c r="G474" s="53">
        <f>SUM(G472:G473)</f>
        <v>290457.15000000002</v>
      </c>
      <c r="H474" s="53">
        <f>SUM(H472:H473)</f>
        <v>849472.90999999992</v>
      </c>
      <c r="I474" s="53">
        <f>SUM(I472:I473)</f>
        <v>0</v>
      </c>
      <c r="J474" s="53">
        <f>SUM(J472:J473)</f>
        <v>20634.62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78928.939999999478</v>
      </c>
      <c r="G476" s="53">
        <f>(G465+G470)- G474</f>
        <v>16822.169999999925</v>
      </c>
      <c r="H476" s="53">
        <f>(H465+H470)- H474</f>
        <v>0</v>
      </c>
      <c r="I476" s="53">
        <f>(I465+I470)- I474</f>
        <v>0</v>
      </c>
      <c r="J476" s="53">
        <f>(J465+J470)- J474</f>
        <v>665738.24000000011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5300000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5.58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1060000</v>
      </c>
      <c r="G495" s="18"/>
      <c r="H495" s="18"/>
      <c r="I495" s="18"/>
      <c r="J495" s="18"/>
      <c r="K495" s="53">
        <f>SUM(F495:J495)</f>
        <v>1060000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265000</v>
      </c>
      <c r="G497" s="18"/>
      <c r="H497" s="18"/>
      <c r="I497" s="18"/>
      <c r="J497" s="18"/>
      <c r="K497" s="53">
        <f t="shared" si="35"/>
        <v>265000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795000</v>
      </c>
      <c r="G498" s="204"/>
      <c r="H498" s="204"/>
      <c r="I498" s="204"/>
      <c r="J498" s="204"/>
      <c r="K498" s="205">
        <f t="shared" si="35"/>
        <v>795000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91093.759999999995</v>
      </c>
      <c r="G499" s="18"/>
      <c r="H499" s="18"/>
      <c r="I499" s="18"/>
      <c r="J499" s="18"/>
      <c r="K499" s="53">
        <f t="shared" si="35"/>
        <v>91093.759999999995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886093.76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886093.76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265000</v>
      </c>
      <c r="G501" s="204"/>
      <c r="H501" s="204"/>
      <c r="I501" s="204"/>
      <c r="J501" s="204"/>
      <c r="K501" s="205">
        <f t="shared" si="35"/>
        <v>265000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45381.26</v>
      </c>
      <c r="G502" s="18"/>
      <c r="H502" s="18"/>
      <c r="I502" s="18"/>
      <c r="J502" s="18"/>
      <c r="K502" s="53">
        <f t="shared" si="35"/>
        <v>45381.26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310381.26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310381.26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539275.46</v>
      </c>
      <c r="G521" s="18">
        <v>213210.5</v>
      </c>
      <c r="H521" s="18">
        <v>156941.03</v>
      </c>
      <c r="I521" s="18">
        <v>485.74</v>
      </c>
      <c r="J521" s="18"/>
      <c r="K521" s="18">
        <v>218.34</v>
      </c>
      <c r="L521" s="88">
        <f>SUM(F521:K521)</f>
        <v>910131.07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162070.67000000001</v>
      </c>
      <c r="G522" s="18">
        <v>66980.070000000007</v>
      </c>
      <c r="H522" s="18">
        <v>37954.47</v>
      </c>
      <c r="I522" s="18">
        <v>183.49</v>
      </c>
      <c r="J522" s="18"/>
      <c r="K522" s="18">
        <v>218.33</v>
      </c>
      <c r="L522" s="88">
        <f>SUM(F522:K522)</f>
        <v>267407.03000000003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334400.15999999997</v>
      </c>
      <c r="G523" s="18">
        <v>137451.74</v>
      </c>
      <c r="H523" s="18">
        <v>469857.93</v>
      </c>
      <c r="I523" s="18">
        <v>1160.7</v>
      </c>
      <c r="J523" s="18"/>
      <c r="K523" s="18">
        <v>303.33</v>
      </c>
      <c r="L523" s="88">
        <f>SUM(F523:K523)</f>
        <v>943173.85999999987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1035746.29</v>
      </c>
      <c r="G524" s="108">
        <f t="shared" ref="G524:L524" si="36">SUM(G521:G523)</f>
        <v>417642.31</v>
      </c>
      <c r="H524" s="108">
        <f t="shared" si="36"/>
        <v>664753.42999999993</v>
      </c>
      <c r="I524" s="108">
        <f t="shared" si="36"/>
        <v>1829.93</v>
      </c>
      <c r="J524" s="108">
        <f t="shared" si="36"/>
        <v>0</v>
      </c>
      <c r="K524" s="108">
        <f t="shared" si="36"/>
        <v>740</v>
      </c>
      <c r="L524" s="89">
        <f t="shared" si="36"/>
        <v>2120711.96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41911.57</v>
      </c>
      <c r="G526" s="18">
        <v>18122.11</v>
      </c>
      <c r="H526" s="18">
        <v>257708</v>
      </c>
      <c r="I526" s="18">
        <v>2908.99</v>
      </c>
      <c r="J526" s="18"/>
      <c r="K526" s="18"/>
      <c r="L526" s="88">
        <f>SUM(F526:K526)</f>
        <v>320650.67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4012.38</v>
      </c>
      <c r="G527" s="18">
        <v>2198.3200000000002</v>
      </c>
      <c r="H527" s="18">
        <v>5972.73</v>
      </c>
      <c r="I527" s="18">
        <v>603.55999999999995</v>
      </c>
      <c r="J527" s="18"/>
      <c r="K527" s="18"/>
      <c r="L527" s="88">
        <f>SUM(F527:K527)</f>
        <v>12786.99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7557.72</v>
      </c>
      <c r="G528" s="18">
        <v>4272.3500000000004</v>
      </c>
      <c r="H528" s="18">
        <v>50770.3</v>
      </c>
      <c r="I528" s="18">
        <v>867.18</v>
      </c>
      <c r="J528" s="18"/>
      <c r="K528" s="18"/>
      <c r="L528" s="88">
        <f>SUM(F528:K528)</f>
        <v>63467.55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53481.67</v>
      </c>
      <c r="G529" s="89">
        <f t="shared" ref="G529:L529" si="37">SUM(G526:G528)</f>
        <v>24592.78</v>
      </c>
      <c r="H529" s="89">
        <f t="shared" si="37"/>
        <v>314451.02999999997</v>
      </c>
      <c r="I529" s="89">
        <f t="shared" si="37"/>
        <v>4379.7299999999996</v>
      </c>
      <c r="J529" s="89">
        <f t="shared" si="37"/>
        <v>0</v>
      </c>
      <c r="K529" s="89">
        <f t="shared" si="37"/>
        <v>0</v>
      </c>
      <c r="L529" s="89">
        <f t="shared" si="37"/>
        <v>396905.20999999996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39589</v>
      </c>
      <c r="G531" s="18">
        <v>18578.86</v>
      </c>
      <c r="H531" s="18"/>
      <c r="I531" s="18"/>
      <c r="J531" s="18"/>
      <c r="K531" s="18"/>
      <c r="L531" s="88">
        <f>SUM(F531:K531)</f>
        <v>58167.86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13856.15</v>
      </c>
      <c r="G532" s="18">
        <v>6502.6</v>
      </c>
      <c r="H532" s="18"/>
      <c r="I532" s="18"/>
      <c r="J532" s="18"/>
      <c r="K532" s="18"/>
      <c r="L532" s="88">
        <f>SUM(F532:K532)</f>
        <v>20358.75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25732.85</v>
      </c>
      <c r="G533" s="18">
        <v>12076.26</v>
      </c>
      <c r="H533" s="18"/>
      <c r="I533" s="18"/>
      <c r="J533" s="18"/>
      <c r="K533" s="18"/>
      <c r="L533" s="88">
        <f>SUM(F533:K533)</f>
        <v>37809.11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79178</v>
      </c>
      <c r="G534" s="89">
        <f t="shared" ref="G534:L534" si="38">SUM(G531:G533)</f>
        <v>37157.72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116335.72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2197.4899999999998</v>
      </c>
      <c r="I536" s="18"/>
      <c r="J536" s="18"/>
      <c r="K536" s="18"/>
      <c r="L536" s="88">
        <f>SUM(F536:K536)</f>
        <v>2197.4899999999998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769.12</v>
      </c>
      <c r="I537" s="18"/>
      <c r="J537" s="18"/>
      <c r="K537" s="18"/>
      <c r="L537" s="88">
        <f>SUM(F537:K537)</f>
        <v>769.12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1428.37</v>
      </c>
      <c r="I538" s="18"/>
      <c r="J538" s="18"/>
      <c r="K538" s="18"/>
      <c r="L538" s="88">
        <f>SUM(F538:K538)</f>
        <v>1428.37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4394.9799999999996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4394.9799999999996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111359.2</v>
      </c>
      <c r="I541" s="18"/>
      <c r="J541" s="18"/>
      <c r="K541" s="18"/>
      <c r="L541" s="88">
        <f>SUM(F541:K541)</f>
        <v>111359.2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18257</v>
      </c>
      <c r="I542" s="18"/>
      <c r="J542" s="18"/>
      <c r="K542" s="18"/>
      <c r="L542" s="88">
        <f>SUM(F542:K542)</f>
        <v>18257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141836.9</v>
      </c>
      <c r="I543" s="18"/>
      <c r="J543" s="18"/>
      <c r="K543" s="18"/>
      <c r="L543" s="88">
        <f>SUM(F543:K543)</f>
        <v>141836.9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271453.09999999998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271453.09999999998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1168405.96</v>
      </c>
      <c r="G545" s="89">
        <f t="shared" ref="G545:L545" si="41">G524+G529+G534+G539+G544</f>
        <v>479392.80999999994</v>
      </c>
      <c r="H545" s="89">
        <f t="shared" si="41"/>
        <v>1255052.54</v>
      </c>
      <c r="I545" s="89">
        <f t="shared" si="41"/>
        <v>6209.66</v>
      </c>
      <c r="J545" s="89">
        <f t="shared" si="41"/>
        <v>0</v>
      </c>
      <c r="K545" s="89">
        <f t="shared" si="41"/>
        <v>740</v>
      </c>
      <c r="L545" s="89">
        <f t="shared" si="41"/>
        <v>2909800.97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910131.07</v>
      </c>
      <c r="G549" s="87">
        <f>L526</f>
        <v>320650.67</v>
      </c>
      <c r="H549" s="87">
        <f>L531</f>
        <v>58167.86</v>
      </c>
      <c r="I549" s="87">
        <f>L536</f>
        <v>2197.4899999999998</v>
      </c>
      <c r="J549" s="87">
        <f>L541</f>
        <v>111359.2</v>
      </c>
      <c r="K549" s="87">
        <f>SUM(F549:J549)</f>
        <v>1402506.29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267407.03000000003</v>
      </c>
      <c r="G550" s="87">
        <f>L527</f>
        <v>12786.99</v>
      </c>
      <c r="H550" s="87">
        <f>L532</f>
        <v>20358.75</v>
      </c>
      <c r="I550" s="87">
        <f>L537</f>
        <v>769.12</v>
      </c>
      <c r="J550" s="87">
        <f>L542</f>
        <v>18257</v>
      </c>
      <c r="K550" s="87">
        <f>SUM(F550:J550)</f>
        <v>319578.89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943173.85999999987</v>
      </c>
      <c r="G551" s="87">
        <f>L528</f>
        <v>63467.55</v>
      </c>
      <c r="H551" s="87">
        <f>L533</f>
        <v>37809.11</v>
      </c>
      <c r="I551" s="87">
        <f>L538</f>
        <v>1428.37</v>
      </c>
      <c r="J551" s="87">
        <f>L543</f>
        <v>141836.9</v>
      </c>
      <c r="K551" s="87">
        <f>SUM(F551:J551)</f>
        <v>1187715.7899999998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2120711.96</v>
      </c>
      <c r="G552" s="89">
        <f t="shared" si="42"/>
        <v>396905.20999999996</v>
      </c>
      <c r="H552" s="89">
        <f t="shared" si="42"/>
        <v>116335.72</v>
      </c>
      <c r="I552" s="89">
        <f t="shared" si="42"/>
        <v>4394.9799999999996</v>
      </c>
      <c r="J552" s="89">
        <f t="shared" si="42"/>
        <v>271453.09999999998</v>
      </c>
      <c r="K552" s="89">
        <f t="shared" si="42"/>
        <v>2909800.9699999997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23530.5</v>
      </c>
      <c r="G562" s="18">
        <v>1926.45</v>
      </c>
      <c r="H562" s="18"/>
      <c r="I562" s="18"/>
      <c r="J562" s="18"/>
      <c r="K562" s="18"/>
      <c r="L562" s="88">
        <f>SUM(F562:K562)</f>
        <v>25456.95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23530.5</v>
      </c>
      <c r="G565" s="89">
        <f t="shared" si="44"/>
        <v>1926.45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25456.95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23530.5</v>
      </c>
      <c r="G571" s="89">
        <f t="shared" ref="G571:L571" si="46">G560+G565+G570</f>
        <v>1926.45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25456.95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15652.64</v>
      </c>
      <c r="G579" s="18"/>
      <c r="H579" s="18"/>
      <c r="I579" s="87">
        <f t="shared" si="47"/>
        <v>15652.64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137056.35</v>
      </c>
      <c r="G582" s="18">
        <v>37879.269999999997</v>
      </c>
      <c r="H582" s="18">
        <v>466272.31</v>
      </c>
      <c r="I582" s="87">
        <f t="shared" si="47"/>
        <v>641207.92999999993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30282.86</v>
      </c>
      <c r="I584" s="87">
        <f t="shared" si="47"/>
        <v>30282.86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127788.61</v>
      </c>
      <c r="I591" s="18">
        <v>36236.080000000002</v>
      </c>
      <c r="J591" s="18">
        <v>71565.61</v>
      </c>
      <c r="K591" s="104">
        <f t="shared" ref="K591:K597" si="48">SUM(H591:J591)</f>
        <v>235590.3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111359.2</v>
      </c>
      <c r="I592" s="18">
        <v>18257</v>
      </c>
      <c r="J592" s="18">
        <v>141836.9</v>
      </c>
      <c r="K592" s="104">
        <f t="shared" si="48"/>
        <v>271453.09999999998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28160</v>
      </c>
      <c r="K593" s="104">
        <f t="shared" si="48"/>
        <v>28160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1672.6</v>
      </c>
      <c r="J594" s="18">
        <v>17282.2</v>
      </c>
      <c r="K594" s="104">
        <f t="shared" si="48"/>
        <v>18954.8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952.9</v>
      </c>
      <c r="I595" s="18">
        <v>259.89999999999998</v>
      </c>
      <c r="J595" s="18">
        <v>4517.7</v>
      </c>
      <c r="K595" s="104">
        <f t="shared" si="48"/>
        <v>5730.5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240100.71</v>
      </c>
      <c r="I598" s="108">
        <f>SUM(I591:I597)</f>
        <v>56425.58</v>
      </c>
      <c r="J598" s="108">
        <f>SUM(J591:J597)</f>
        <v>263362.41000000003</v>
      </c>
      <c r="K598" s="108">
        <f>SUM(K591:K597)</f>
        <v>559888.69999999995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88412.84</v>
      </c>
      <c r="I604" s="18">
        <v>6261.32</v>
      </c>
      <c r="J604" s="18">
        <v>39722.11</v>
      </c>
      <c r="K604" s="104">
        <f>SUM(H604:J604)</f>
        <v>134396.27000000002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88412.84</v>
      </c>
      <c r="I605" s="108">
        <f>SUM(I602:I604)</f>
        <v>6261.32</v>
      </c>
      <c r="J605" s="108">
        <f>SUM(J602:J604)</f>
        <v>39722.11</v>
      </c>
      <c r="K605" s="108">
        <f>SUM(K602:K604)</f>
        <v>134396.27000000002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842524.9800000001</v>
      </c>
      <c r="H617" s="109">
        <f>SUM(F52)</f>
        <v>842524.98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139487.21</v>
      </c>
      <c r="H618" s="109">
        <f>SUM(G52)</f>
        <v>139487.21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233716.25</v>
      </c>
      <c r="H619" s="109">
        <f>SUM(H52)</f>
        <v>233716.25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665738.23999999999</v>
      </c>
      <c r="H621" s="109">
        <f>SUM(J52)</f>
        <v>665738.23999999999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78928.94</v>
      </c>
      <c r="H622" s="109">
        <f>F476</f>
        <v>78928.939999999478</v>
      </c>
      <c r="I622" s="121" t="s">
        <v>101</v>
      </c>
      <c r="J622" s="109">
        <f t="shared" ref="J622:J655" si="50">G622-H622</f>
        <v>5.2386894822120667E-10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16822.169999999998</v>
      </c>
      <c r="H623" s="109">
        <f>G476</f>
        <v>16822.169999999925</v>
      </c>
      <c r="I623" s="121" t="s">
        <v>102</v>
      </c>
      <c r="J623" s="109">
        <f t="shared" si="50"/>
        <v>7.2759576141834259E-11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665738.23999999999</v>
      </c>
      <c r="H626" s="109">
        <f>J476</f>
        <v>665738.24000000011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9326233.290000001</v>
      </c>
      <c r="H627" s="104">
        <f>SUM(F468)</f>
        <v>9326233.290000001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299994.40999999997</v>
      </c>
      <c r="H628" s="104">
        <f>SUM(G468)</f>
        <v>299994.40999999997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849472.91</v>
      </c>
      <c r="H629" s="104">
        <f>SUM(H468)</f>
        <v>849472.91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27610.68</v>
      </c>
      <c r="H631" s="104">
        <f>SUM(J468)</f>
        <v>27610.68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9765532.6500000022</v>
      </c>
      <c r="H632" s="104">
        <f>SUM(F472)</f>
        <v>9765532.6500000022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849472.90999999992</v>
      </c>
      <c r="H633" s="104">
        <f>SUM(H472)</f>
        <v>849472.90999999992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19513.719999999998</v>
      </c>
      <c r="H634" s="104">
        <f>I369</f>
        <v>19513.72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290457.15000000002</v>
      </c>
      <c r="H635" s="104">
        <f>SUM(G472)</f>
        <v>290457.15000000002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27610.68</v>
      </c>
      <c r="H637" s="164">
        <f>SUM(J468)</f>
        <v>27610.68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20634.62</v>
      </c>
      <c r="H638" s="164">
        <f>SUM(J472)</f>
        <v>20634.62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16710.36</v>
      </c>
      <c r="H639" s="104">
        <f>SUM(F461)</f>
        <v>16710.36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445195.29</v>
      </c>
      <c r="H640" s="104">
        <f>SUM(G461)</f>
        <v>445195.29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203832.59</v>
      </c>
      <c r="H641" s="104">
        <f>SUM(H461)</f>
        <v>203832.59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665738.23999999999</v>
      </c>
      <c r="H642" s="104">
        <f>SUM(I461)</f>
        <v>665738.23999999999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5115.03</v>
      </c>
      <c r="H644" s="104">
        <f>H408</f>
        <v>5115.03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27610.68</v>
      </c>
      <c r="H646" s="104">
        <f>L408</f>
        <v>27610.68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559888.69999999995</v>
      </c>
      <c r="H647" s="104">
        <f>L208+L226+L244</f>
        <v>559888.69999999995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134396.27000000002</v>
      </c>
      <c r="H648" s="104">
        <f>(J257+J338)-(J255+J336)</f>
        <v>134396.27000000002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240100.71</v>
      </c>
      <c r="H649" s="104">
        <f>H598</f>
        <v>240100.71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56425.58</v>
      </c>
      <c r="H650" s="104">
        <f>I598</f>
        <v>56425.58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263362.40999999997</v>
      </c>
      <c r="H651" s="104">
        <f>J598</f>
        <v>263362.41000000003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12830.46</v>
      </c>
      <c r="H652" s="104">
        <f>K263+K345</f>
        <v>12830.46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5053040.3200000012</v>
      </c>
      <c r="G660" s="19">
        <f>(L229+L309+L359)</f>
        <v>1428392.01</v>
      </c>
      <c r="H660" s="19">
        <f>(L247+L328+L360)</f>
        <v>4077393.22</v>
      </c>
      <c r="I660" s="19">
        <f>SUM(F660:H660)</f>
        <v>10558825.550000001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36137.872867813719</v>
      </c>
      <c r="G661" s="19">
        <f>(L359/IF(SUM(L358:L360)=0,1,SUM(L358:L360))*(SUM(G97:G110)))</f>
        <v>14021.457366711747</v>
      </c>
      <c r="H661" s="19">
        <f>(L360/IF(SUM(L358:L360)=0,1,SUM(L358:L360))*(SUM(G97:G110)))</f>
        <v>28934.059765474525</v>
      </c>
      <c r="I661" s="19">
        <f>SUM(F661:H661)</f>
        <v>79093.389999999985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241500.71</v>
      </c>
      <c r="G662" s="19">
        <f>(L226+L306)-(J226+J306)</f>
        <v>56425.58</v>
      </c>
      <c r="H662" s="19">
        <f>(L244+L325)-(J244+J325)</f>
        <v>264905.45999999996</v>
      </c>
      <c r="I662" s="19">
        <f>SUM(F662:H662)</f>
        <v>562831.75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241121.83</v>
      </c>
      <c r="G663" s="199">
        <f>SUM(G575:G587)+SUM(I602:I604)+L612</f>
        <v>44140.59</v>
      </c>
      <c r="H663" s="199">
        <f>SUM(H575:H587)+SUM(J602:J604)+L613</f>
        <v>536277.28</v>
      </c>
      <c r="I663" s="19">
        <f>SUM(F663:H663)</f>
        <v>821539.7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4534279.9071321879</v>
      </c>
      <c r="G664" s="19">
        <f>G660-SUM(G661:G663)</f>
        <v>1313804.3826332882</v>
      </c>
      <c r="H664" s="19">
        <f>H660-SUM(H661:H663)</f>
        <v>3247276.4202345256</v>
      </c>
      <c r="I664" s="19">
        <f>I660-SUM(I661:I663)</f>
        <v>9095360.7100000009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324.54000000000002</v>
      </c>
      <c r="G665" s="248">
        <v>73.290000000000006</v>
      </c>
      <c r="H665" s="248">
        <v>165.66</v>
      </c>
      <c r="I665" s="19">
        <f>SUM(F665:H665)</f>
        <v>563.49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13971.41</v>
      </c>
      <c r="G667" s="19">
        <f>ROUND(G664/G665,2)</f>
        <v>17926.11</v>
      </c>
      <c r="H667" s="19">
        <f>ROUND(H664/H665,2)</f>
        <v>19602.05</v>
      </c>
      <c r="I667" s="19">
        <f>ROUND(I664/I665,2)</f>
        <v>16141.12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-6</v>
      </c>
      <c r="I670" s="19">
        <f>SUM(F670:H670)</f>
        <v>-6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13971.41</v>
      </c>
      <c r="G672" s="19">
        <f>ROUND((G664+G669)/(G665+G670),2)</f>
        <v>17926.11</v>
      </c>
      <c r="H672" s="19">
        <f>ROUND((H664+H669)/(H665+H670),2)</f>
        <v>20338.7</v>
      </c>
      <c r="I672" s="19">
        <f>ROUND((I664+I669)/(I665+I670),2)</f>
        <v>16314.84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PITTSFIELD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2181897.14</v>
      </c>
      <c r="C9" s="229">
        <f>'DOE25'!G197+'DOE25'!G215+'DOE25'!G233+'DOE25'!G276+'DOE25'!G295+'DOE25'!G314</f>
        <v>1174698.46</v>
      </c>
    </row>
    <row r="10" spans="1:3" x14ac:dyDescent="0.2">
      <c r="A10" t="s">
        <v>778</v>
      </c>
      <c r="B10" s="240">
        <v>2024354.75</v>
      </c>
      <c r="C10" s="240">
        <v>1148973.24</v>
      </c>
    </row>
    <row r="11" spans="1:3" x14ac:dyDescent="0.2">
      <c r="A11" t="s">
        <v>779</v>
      </c>
      <c r="B11" s="240">
        <v>90783.47</v>
      </c>
      <c r="C11" s="240">
        <v>20175.57</v>
      </c>
    </row>
    <row r="12" spans="1:3" x14ac:dyDescent="0.2">
      <c r="A12" t="s">
        <v>780</v>
      </c>
      <c r="B12" s="240">
        <v>66758.92</v>
      </c>
      <c r="C12" s="240">
        <v>5549.65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2181897.14</v>
      </c>
      <c r="C13" s="231">
        <f>SUM(C10:C12)</f>
        <v>1174698.46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1059276.7899999998</v>
      </c>
      <c r="C18" s="229">
        <f>'DOE25'!G198+'DOE25'!G216+'DOE25'!G234+'DOE25'!G277+'DOE25'!G296+'DOE25'!G315</f>
        <v>427718.65</v>
      </c>
    </row>
    <row r="19" spans="1:3" x14ac:dyDescent="0.2">
      <c r="A19" t="s">
        <v>778</v>
      </c>
      <c r="B19" s="240">
        <v>559018.48</v>
      </c>
      <c r="C19" s="240">
        <v>321193.58</v>
      </c>
    </row>
    <row r="20" spans="1:3" x14ac:dyDescent="0.2">
      <c r="A20" t="s">
        <v>779</v>
      </c>
      <c r="B20" s="240">
        <v>482304.08</v>
      </c>
      <c r="C20" s="240">
        <v>105108.66</v>
      </c>
    </row>
    <row r="21" spans="1:3" x14ac:dyDescent="0.2">
      <c r="A21" t="s">
        <v>780</v>
      </c>
      <c r="B21" s="240">
        <v>17954.23</v>
      </c>
      <c r="C21" s="240">
        <v>1416.41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1059276.79</v>
      </c>
      <c r="C22" s="231">
        <f>SUM(C19:C21)</f>
        <v>427718.64999999997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69003</v>
      </c>
      <c r="C36" s="235">
        <f>'DOE25'!G200+'DOE25'!G218+'DOE25'!G236+'DOE25'!G279+'DOE25'!G298+'DOE25'!G317</f>
        <v>11159.23</v>
      </c>
    </row>
    <row r="37" spans="1:3" x14ac:dyDescent="0.2">
      <c r="A37" t="s">
        <v>778</v>
      </c>
      <c r="B37" s="240">
        <v>24015</v>
      </c>
      <c r="C37" s="240">
        <v>6268.21</v>
      </c>
    </row>
    <row r="38" spans="1:3" x14ac:dyDescent="0.2">
      <c r="A38" t="s">
        <v>779</v>
      </c>
      <c r="B38" s="240">
        <v>1775</v>
      </c>
      <c r="C38" s="240">
        <v>383.43</v>
      </c>
    </row>
    <row r="39" spans="1:3" x14ac:dyDescent="0.2">
      <c r="A39" t="s">
        <v>780</v>
      </c>
      <c r="B39" s="240">
        <v>43213</v>
      </c>
      <c r="C39" s="240">
        <v>4507.59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69003</v>
      </c>
      <c r="C40" s="231">
        <f>SUM(C37:C39)</f>
        <v>11159.23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PITTSFIELD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5505099.04</v>
      </c>
      <c r="D5" s="20">
        <f>SUM('DOE25'!L197:L200)+SUM('DOE25'!L215:L218)+SUM('DOE25'!L233:L236)-F5-G5</f>
        <v>5483412.5099999998</v>
      </c>
      <c r="E5" s="243"/>
      <c r="F5" s="255">
        <f>SUM('DOE25'!J197:J200)+SUM('DOE25'!J215:J218)+SUM('DOE25'!J233:J236)</f>
        <v>2001.04</v>
      </c>
      <c r="G5" s="53">
        <f>SUM('DOE25'!K197:K200)+SUM('DOE25'!K215:K218)+SUM('DOE25'!K233:K236)</f>
        <v>19685.490000000002</v>
      </c>
      <c r="H5" s="259"/>
    </row>
    <row r="6" spans="1:9" x14ac:dyDescent="0.2">
      <c r="A6" s="32">
        <v>2100</v>
      </c>
      <c r="B6" t="s">
        <v>800</v>
      </c>
      <c r="C6" s="245">
        <f t="shared" si="0"/>
        <v>829126.67999999993</v>
      </c>
      <c r="D6" s="20">
        <f>'DOE25'!L202+'DOE25'!L220+'DOE25'!L238-F6-G6</f>
        <v>828425.17999999993</v>
      </c>
      <c r="E6" s="243"/>
      <c r="F6" s="255">
        <f>'DOE25'!J202+'DOE25'!J220+'DOE25'!J238</f>
        <v>0</v>
      </c>
      <c r="G6" s="53">
        <f>'DOE25'!K202+'DOE25'!K220+'DOE25'!K238</f>
        <v>701.5</v>
      </c>
      <c r="H6" s="259"/>
    </row>
    <row r="7" spans="1:9" x14ac:dyDescent="0.2">
      <c r="A7" s="32">
        <v>2200</v>
      </c>
      <c r="B7" t="s">
        <v>833</v>
      </c>
      <c r="C7" s="245">
        <f t="shared" si="0"/>
        <v>496926.26000000007</v>
      </c>
      <c r="D7" s="20">
        <f>'DOE25'!L203+'DOE25'!L221+'DOE25'!L239-F7-G7</f>
        <v>433957.28000000009</v>
      </c>
      <c r="E7" s="243"/>
      <c r="F7" s="255">
        <f>'DOE25'!J203+'DOE25'!J221+'DOE25'!J239</f>
        <v>62933.03</v>
      </c>
      <c r="G7" s="53">
        <f>'DOE25'!K203+'DOE25'!K221+'DOE25'!K239</f>
        <v>35.950000000000003</v>
      </c>
      <c r="H7" s="259"/>
    </row>
    <row r="8" spans="1:9" x14ac:dyDescent="0.2">
      <c r="A8" s="32">
        <v>2300</v>
      </c>
      <c r="B8" t="s">
        <v>801</v>
      </c>
      <c r="C8" s="245">
        <f t="shared" si="0"/>
        <v>129373.93000000002</v>
      </c>
      <c r="D8" s="243"/>
      <c r="E8" s="20">
        <f>'DOE25'!L204+'DOE25'!L222+'DOE25'!L240-F8-G8-D9-D11</f>
        <v>122201.36000000002</v>
      </c>
      <c r="F8" s="255">
        <f>'DOE25'!J204+'DOE25'!J222+'DOE25'!J240</f>
        <v>0</v>
      </c>
      <c r="G8" s="53">
        <f>'DOE25'!K204+'DOE25'!K222+'DOE25'!K240</f>
        <v>7172.57</v>
      </c>
      <c r="H8" s="259"/>
    </row>
    <row r="9" spans="1:9" x14ac:dyDescent="0.2">
      <c r="A9" s="32">
        <v>2310</v>
      </c>
      <c r="B9" t="s">
        <v>817</v>
      </c>
      <c r="C9" s="245">
        <f t="shared" si="0"/>
        <v>27825.25</v>
      </c>
      <c r="D9" s="244">
        <v>27825.25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6300</v>
      </c>
      <c r="D10" s="243"/>
      <c r="E10" s="244">
        <v>6300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209896.21</v>
      </c>
      <c r="D11" s="244">
        <v>209896.21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805818.45000000007</v>
      </c>
      <c r="D12" s="20">
        <f>'DOE25'!L205+'DOE25'!L223+'DOE25'!L241-F12-G12</f>
        <v>803338.4800000001</v>
      </c>
      <c r="E12" s="243"/>
      <c r="F12" s="255">
        <f>'DOE25'!J205+'DOE25'!J223+'DOE25'!J241</f>
        <v>0</v>
      </c>
      <c r="G12" s="53">
        <f>'DOE25'!K205+'DOE25'!K223+'DOE25'!K241</f>
        <v>2479.9700000000003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856460.16999999993</v>
      </c>
      <c r="D14" s="20">
        <f>'DOE25'!L207+'DOE25'!L225+'DOE25'!L243-F14-G14</f>
        <v>840697.14999999991</v>
      </c>
      <c r="E14" s="243"/>
      <c r="F14" s="255">
        <f>'DOE25'!J207+'DOE25'!J225+'DOE25'!J243</f>
        <v>15763.02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559888.69999999995</v>
      </c>
      <c r="D15" s="20">
        <f>'DOE25'!L208+'DOE25'!L226+'DOE25'!L244-F15-G15</f>
        <v>559888.69999999995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325287.5</v>
      </c>
      <c r="D25" s="243"/>
      <c r="E25" s="243"/>
      <c r="F25" s="258"/>
      <c r="G25" s="256"/>
      <c r="H25" s="257">
        <f>'DOE25'!L260+'DOE25'!L261+'DOE25'!L341+'DOE25'!L342</f>
        <v>325287.5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271020.54000000004</v>
      </c>
      <c r="D29" s="20">
        <f>'DOE25'!L358+'DOE25'!L359+'DOE25'!L360-'DOE25'!I367-F29-G29</f>
        <v>268795.11000000004</v>
      </c>
      <c r="E29" s="243"/>
      <c r="F29" s="255">
        <f>'DOE25'!J358+'DOE25'!J359+'DOE25'!J360</f>
        <v>2225.4299999999998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847953.71</v>
      </c>
      <c r="D31" s="20">
        <f>'DOE25'!L290+'DOE25'!L309+'DOE25'!L328+'DOE25'!L333+'DOE25'!L334+'DOE25'!L335-F31-G31</f>
        <v>793738.16999999993</v>
      </c>
      <c r="E31" s="243"/>
      <c r="F31" s="255">
        <f>'DOE25'!J290+'DOE25'!J309+'DOE25'!J328+'DOE25'!J333+'DOE25'!J334+'DOE25'!J335</f>
        <v>53699.18</v>
      </c>
      <c r="G31" s="53">
        <f>'DOE25'!K290+'DOE25'!K309+'DOE25'!K328+'DOE25'!K333+'DOE25'!K334+'DOE25'!K335</f>
        <v>516.36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10249974.039999999</v>
      </c>
      <c r="E33" s="246">
        <f>SUM(E5:E31)</f>
        <v>128501.36000000002</v>
      </c>
      <c r="F33" s="246">
        <f>SUM(F5:F31)</f>
        <v>136621.69999999998</v>
      </c>
      <c r="G33" s="246">
        <f>SUM(G5:G31)</f>
        <v>30591.840000000004</v>
      </c>
      <c r="H33" s="246">
        <f>SUM(H5:H31)</f>
        <v>325287.5</v>
      </c>
    </row>
    <row r="35" spans="2:8" ht="12" thickBot="1" x14ac:dyDescent="0.25">
      <c r="B35" s="253" t="s">
        <v>846</v>
      </c>
      <c r="D35" s="254">
        <f>E33</f>
        <v>128501.36000000002</v>
      </c>
      <c r="E35" s="249"/>
    </row>
    <row r="36" spans="2:8" ht="12" thickTop="1" x14ac:dyDescent="0.2">
      <c r="B36" t="s">
        <v>814</v>
      </c>
      <c r="D36" s="20">
        <f>D33</f>
        <v>10249974.039999999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0" activePane="bottomLeft" state="frozen"/>
      <selection activeCell="F46" sqref="F46"/>
      <selection pane="bottomLeft" activeCell="C138" sqref="C13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PITTSFIELD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616302.43000000005</v>
      </c>
      <c r="D8" s="95">
        <f>'DOE25'!G9</f>
        <v>87122.6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203832.59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149663.48000000001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50446.79</v>
      </c>
      <c r="D12" s="95">
        <f>'DOE25'!G13</f>
        <v>40061.17</v>
      </c>
      <c r="E12" s="95">
        <f>'DOE25'!H13</f>
        <v>0</v>
      </c>
      <c r="F12" s="95">
        <f>'DOE25'!I13</f>
        <v>0</v>
      </c>
      <c r="G12" s="95">
        <f>'DOE25'!J13</f>
        <v>461905.64999999997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26112.28</v>
      </c>
      <c r="D13" s="95">
        <f>'DOE25'!G14</f>
        <v>465</v>
      </c>
      <c r="E13" s="95">
        <f>'DOE25'!H14</f>
        <v>233716.25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11838.44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842524.9800000001</v>
      </c>
      <c r="D18" s="41">
        <f>SUM(D8:D17)</f>
        <v>139487.21</v>
      </c>
      <c r="E18" s="41">
        <f>SUM(E8:E17)</f>
        <v>233716.25</v>
      </c>
      <c r="F18" s="41">
        <f>SUM(F8:F17)</f>
        <v>0</v>
      </c>
      <c r="G18" s="41">
        <f>SUM(G8:G17)</f>
        <v>665738.23999999999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21609.62</v>
      </c>
      <c r="D21" s="95">
        <f>'DOE25'!G22</f>
        <v>109952.09</v>
      </c>
      <c r="E21" s="95">
        <f>'DOE25'!H22</f>
        <v>39711.39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272700.79999999999</v>
      </c>
      <c r="D23" s="95">
        <f>'DOE25'!G24</f>
        <v>12712.95</v>
      </c>
      <c r="E23" s="95">
        <f>'DOE25'!H24</f>
        <v>898.02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469285.62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193106.84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763596.04</v>
      </c>
      <c r="D31" s="41">
        <f>SUM(D21:D30)</f>
        <v>122665.04</v>
      </c>
      <c r="E31" s="41">
        <f>SUM(E21:E30)</f>
        <v>233716.25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11838.44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203832.59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4983.7299999999996</v>
      </c>
      <c r="E47" s="95">
        <f>'DOE25'!H48</f>
        <v>0</v>
      </c>
      <c r="F47" s="95">
        <f>'DOE25'!I48</f>
        <v>0</v>
      </c>
      <c r="G47" s="95">
        <f>'DOE25'!J48</f>
        <v>461905.64999999997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78928.94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78928.94</v>
      </c>
      <c r="D50" s="41">
        <f>SUM(D34:D49)</f>
        <v>16822.169999999998</v>
      </c>
      <c r="E50" s="41">
        <f>SUM(E34:E49)</f>
        <v>0</v>
      </c>
      <c r="F50" s="41">
        <f>SUM(F34:F49)</f>
        <v>0</v>
      </c>
      <c r="G50" s="41">
        <f>SUM(G34:G49)</f>
        <v>665738.23999999999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842524.98</v>
      </c>
      <c r="D51" s="41">
        <f>D50+D31</f>
        <v>139487.21</v>
      </c>
      <c r="E51" s="41">
        <f>E50+E31</f>
        <v>233716.25</v>
      </c>
      <c r="F51" s="41">
        <f>F50+F31</f>
        <v>0</v>
      </c>
      <c r="G51" s="41">
        <f>G50+G31</f>
        <v>665738.23999999999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4300092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179.47</v>
      </c>
      <c r="D59" s="95">
        <f>'DOE25'!G96</f>
        <v>4.47</v>
      </c>
      <c r="E59" s="95">
        <f>'DOE25'!H96</f>
        <v>0</v>
      </c>
      <c r="F59" s="95">
        <f>'DOE25'!I96</f>
        <v>0</v>
      </c>
      <c r="G59" s="95">
        <f>'DOE25'!J96</f>
        <v>5115.03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79093.39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2250</v>
      </c>
      <c r="D61" s="95">
        <f>SUM('DOE25'!G98:G110)</f>
        <v>0</v>
      </c>
      <c r="E61" s="95">
        <f>SUM('DOE25'!H98:H110)</f>
        <v>302838.64</v>
      </c>
      <c r="F61" s="95">
        <f>SUM('DOE25'!I98:I110)</f>
        <v>0</v>
      </c>
      <c r="G61" s="95">
        <f>SUM('DOE25'!J98:J110)</f>
        <v>22495.65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2429.4699999999998</v>
      </c>
      <c r="D62" s="130">
        <f>SUM(D57:D61)</f>
        <v>79097.86</v>
      </c>
      <c r="E62" s="130">
        <f>SUM(E57:E61)</f>
        <v>302838.64</v>
      </c>
      <c r="F62" s="130">
        <f>SUM(F57:F61)</f>
        <v>0</v>
      </c>
      <c r="G62" s="130">
        <f>SUM(G57:G61)</f>
        <v>27610.68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4302521.47</v>
      </c>
      <c r="D63" s="22">
        <f>D56+D62</f>
        <v>79097.86</v>
      </c>
      <c r="E63" s="22">
        <f>E56+E62</f>
        <v>302838.64</v>
      </c>
      <c r="F63" s="22">
        <f>F56+F62</f>
        <v>0</v>
      </c>
      <c r="G63" s="22">
        <f>G56+G62</f>
        <v>27610.68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4066186.87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553647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4619833.87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89923.26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152252.26999999999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3585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3867.01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245760.52999999997</v>
      </c>
      <c r="D78" s="130">
        <f>SUM(D72:D77)</f>
        <v>3867.01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4865594.4000000004</v>
      </c>
      <c r="D81" s="130">
        <f>SUM(D79:D80)+D78+D70</f>
        <v>3867.01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23148.81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156598.22</v>
      </c>
      <c r="D88" s="95">
        <f>SUM('DOE25'!G153:G161)</f>
        <v>204199.08</v>
      </c>
      <c r="E88" s="95">
        <f>SUM('DOE25'!H153:H161)</f>
        <v>523485.45999999996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156598.22</v>
      </c>
      <c r="D91" s="131">
        <f>SUM(D85:D90)</f>
        <v>204199.08</v>
      </c>
      <c r="E91" s="131">
        <f>SUM(E85:E90)</f>
        <v>546634.27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12830.46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1519.2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1519.2</v>
      </c>
      <c r="D103" s="86">
        <f>SUM(D93:D102)</f>
        <v>12830.46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9326233.290000001</v>
      </c>
      <c r="D104" s="86">
        <f>D63+D81+D91+D103</f>
        <v>299994.40999999997</v>
      </c>
      <c r="E104" s="86">
        <f>E63+E81+E91+E103</f>
        <v>849472.91</v>
      </c>
      <c r="F104" s="86">
        <f>F63+F81+F91+F103</f>
        <v>0</v>
      </c>
      <c r="G104" s="86">
        <f>G63+G81+G103</f>
        <v>27610.68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3250715.3000000003</v>
      </c>
      <c r="D109" s="24" t="s">
        <v>288</v>
      </c>
      <c r="E109" s="95">
        <f>('DOE25'!L276)+('DOE25'!L295)+('DOE25'!L314)</f>
        <v>236965.3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2122461.9499999997</v>
      </c>
      <c r="D110" s="24" t="s">
        <v>288</v>
      </c>
      <c r="E110" s="95">
        <f>('DOE25'!L277)+('DOE25'!L296)+('DOE25'!L315)</f>
        <v>44616.399999999994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30282.86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101638.93</v>
      </c>
      <c r="D112" s="24" t="s">
        <v>288</v>
      </c>
      <c r="E112" s="95">
        <f>+('DOE25'!L279)+('DOE25'!L298)+('DOE25'!L317)</f>
        <v>37319.270000000004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7000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5512099.04</v>
      </c>
      <c r="D115" s="86">
        <f>SUM(D109:D114)</f>
        <v>0</v>
      </c>
      <c r="E115" s="86">
        <f>SUM(E109:E114)</f>
        <v>318900.96999999997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829126.67999999993</v>
      </c>
      <c r="D118" s="24" t="s">
        <v>288</v>
      </c>
      <c r="E118" s="95">
        <f>+('DOE25'!L281)+('DOE25'!L300)+('DOE25'!L319)</f>
        <v>95844.75999999998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496926.26000000007</v>
      </c>
      <c r="D119" s="24" t="s">
        <v>288</v>
      </c>
      <c r="E119" s="95">
        <f>+('DOE25'!L282)+('DOE25'!L301)+('DOE25'!L320)</f>
        <v>269022.65000000002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367095.39</v>
      </c>
      <c r="D120" s="24" t="s">
        <v>288</v>
      </c>
      <c r="E120" s="95">
        <f>+('DOE25'!L283)+('DOE25'!L302)+('DOE25'!L321)</f>
        <v>44506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805818.45000000007</v>
      </c>
      <c r="D121" s="24" t="s">
        <v>288</v>
      </c>
      <c r="E121" s="95">
        <f>+('DOE25'!L284)+('DOE25'!L303)+('DOE25'!L322)</f>
        <v>93587.47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856460.16999999993</v>
      </c>
      <c r="D123" s="24" t="s">
        <v>288</v>
      </c>
      <c r="E123" s="95">
        <f>+('DOE25'!L286)+('DOE25'!L305)+('DOE25'!L324)</f>
        <v>23148.809999999998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559888.69999999995</v>
      </c>
      <c r="D124" s="24" t="s">
        <v>288</v>
      </c>
      <c r="E124" s="95">
        <f>+('DOE25'!L287)+('DOE25'!L306)+('DOE25'!L325)</f>
        <v>2943.05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290457.15000000002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3915315.6500000004</v>
      </c>
      <c r="D128" s="86">
        <f>SUM(D118:D127)</f>
        <v>290457.15000000002</v>
      </c>
      <c r="E128" s="86">
        <f>SUM(E118:E127)</f>
        <v>529052.74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265000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60287.5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1519.2</v>
      </c>
      <c r="F134" s="95">
        <f>'DOE25'!K381</f>
        <v>0</v>
      </c>
      <c r="G134" s="95">
        <f>'DOE25'!K434</f>
        <v>7848.72</v>
      </c>
    </row>
    <row r="135" spans="1:7" x14ac:dyDescent="0.2">
      <c r="A135" t="s">
        <v>233</v>
      </c>
      <c r="B135" s="32" t="s">
        <v>234</v>
      </c>
      <c r="C135" s="95">
        <f>'DOE25'!L263</f>
        <v>12830.46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43.37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8948.17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18619.14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-27610.68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338117.96</v>
      </c>
      <c r="D144" s="141">
        <f>SUM(D130:D143)</f>
        <v>0</v>
      </c>
      <c r="E144" s="141">
        <f>SUM(E130:E143)</f>
        <v>1519.2</v>
      </c>
      <c r="F144" s="141">
        <f>SUM(F130:F143)</f>
        <v>0</v>
      </c>
      <c r="G144" s="141">
        <f>SUM(G130:G143)</f>
        <v>7848.72</v>
      </c>
    </row>
    <row r="145" spans="1:9" ht="12.75" thickTop="1" thickBot="1" x14ac:dyDescent="0.25">
      <c r="A145" s="33" t="s">
        <v>244</v>
      </c>
      <c r="C145" s="86">
        <f>(C115+C128+C144)</f>
        <v>9765532.6500000022</v>
      </c>
      <c r="D145" s="86">
        <f>(D115+D128+D144)</f>
        <v>290457.15000000002</v>
      </c>
      <c r="E145" s="86">
        <f>(E115+E128+E144)</f>
        <v>849472.90999999992</v>
      </c>
      <c r="F145" s="86">
        <f>(F115+F128+F144)</f>
        <v>0</v>
      </c>
      <c r="G145" s="86">
        <f>(G115+G128+G144)</f>
        <v>7848.72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12/99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01/20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5300000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5.58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1060000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265000</v>
      </c>
    </row>
    <row r="159" spans="1:9" x14ac:dyDescent="0.2">
      <c r="A159" s="22" t="s">
        <v>35</v>
      </c>
      <c r="B159" s="137">
        <f>'DOE25'!F498</f>
        <v>795000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795000</v>
      </c>
    </row>
    <row r="160" spans="1:9" x14ac:dyDescent="0.2">
      <c r="A160" s="22" t="s">
        <v>36</v>
      </c>
      <c r="B160" s="137">
        <f>'DOE25'!F499</f>
        <v>91093.759999999995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91093.759999999995</v>
      </c>
    </row>
    <row r="161" spans="1:7" x14ac:dyDescent="0.2">
      <c r="A161" s="22" t="s">
        <v>37</v>
      </c>
      <c r="B161" s="137">
        <f>'DOE25'!F500</f>
        <v>886093.76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886093.76</v>
      </c>
    </row>
    <row r="162" spans="1:7" x14ac:dyDescent="0.2">
      <c r="A162" s="22" t="s">
        <v>38</v>
      </c>
      <c r="B162" s="137">
        <f>'DOE25'!F501</f>
        <v>265000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265000</v>
      </c>
    </row>
    <row r="163" spans="1:7" x14ac:dyDescent="0.2">
      <c r="A163" s="22" t="s">
        <v>39</v>
      </c>
      <c r="B163" s="137">
        <f>'DOE25'!F502</f>
        <v>45381.26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45381.26</v>
      </c>
    </row>
    <row r="164" spans="1:7" x14ac:dyDescent="0.2">
      <c r="A164" s="22" t="s">
        <v>246</v>
      </c>
      <c r="B164" s="137">
        <f>'DOE25'!F503</f>
        <v>310381.26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310381.26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PITTSFIELD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13971</v>
      </c>
    </row>
    <row r="5" spans="1:4" x14ac:dyDescent="0.2">
      <c r="B5" t="s">
        <v>703</v>
      </c>
      <c r="C5" s="179">
        <f>IF('DOE25'!G665+'DOE25'!G670=0,0,ROUND('DOE25'!G672,0))</f>
        <v>17926</v>
      </c>
    </row>
    <row r="6" spans="1:4" x14ac:dyDescent="0.2">
      <c r="B6" t="s">
        <v>62</v>
      </c>
      <c r="C6" s="179">
        <f>IF('DOE25'!H665+'DOE25'!H670=0,0,ROUND('DOE25'!H672,0))</f>
        <v>20339</v>
      </c>
    </row>
    <row r="7" spans="1:4" x14ac:dyDescent="0.2">
      <c r="B7" t="s">
        <v>704</v>
      </c>
      <c r="C7" s="179">
        <f>IF('DOE25'!I665+'DOE25'!I670=0,0,ROUND('DOE25'!I672,0))</f>
        <v>16315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3487681</v>
      </c>
      <c r="D10" s="182">
        <f>ROUND((C10/$C$28)*100,1)</f>
        <v>33.1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2167078</v>
      </c>
      <c r="D11" s="182">
        <f>ROUND((C11/$C$28)*100,1)</f>
        <v>20.5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30283</v>
      </c>
      <c r="D12" s="182">
        <f>ROUND((C12/$C$28)*100,1)</f>
        <v>0.3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138958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924971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765949</v>
      </c>
      <c r="D16" s="182">
        <f t="shared" si="0"/>
        <v>7.3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411601</v>
      </c>
      <c r="D17" s="182">
        <f t="shared" si="0"/>
        <v>3.9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899406</v>
      </c>
      <c r="D18" s="182">
        <f t="shared" si="0"/>
        <v>8.5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879609</v>
      </c>
      <c r="D20" s="182">
        <f t="shared" si="0"/>
        <v>8.3000000000000007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562832</v>
      </c>
      <c r="D21" s="182">
        <f t="shared" si="0"/>
        <v>5.3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7000</v>
      </c>
      <c r="D23" s="182">
        <f t="shared" si="0"/>
        <v>0.1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60288</v>
      </c>
      <c r="D25" s="182">
        <f t="shared" si="0"/>
        <v>0.6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211363.61</v>
      </c>
      <c r="D27" s="182">
        <f t="shared" si="0"/>
        <v>2</v>
      </c>
    </row>
    <row r="28" spans="1:4" x14ac:dyDescent="0.2">
      <c r="B28" s="187" t="s">
        <v>722</v>
      </c>
      <c r="C28" s="180">
        <f>SUM(C10:C27)</f>
        <v>10547019.609999999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10547019.609999999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265000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4300092</v>
      </c>
      <c r="D35" s="182">
        <f t="shared" ref="D35:D40" si="1">ROUND((C35/$C$41)*100,1)</f>
        <v>41.3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332883.25999999978</v>
      </c>
      <c r="D36" s="182">
        <f t="shared" si="1"/>
        <v>3.2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4619834</v>
      </c>
      <c r="D37" s="182">
        <f t="shared" si="1"/>
        <v>44.4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249628</v>
      </c>
      <c r="D38" s="182">
        <f t="shared" si="1"/>
        <v>2.4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907432</v>
      </c>
      <c r="D39" s="182">
        <f t="shared" si="1"/>
        <v>8.6999999999999993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10409869.26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P40" sqref="P40:Z4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PITTSFIELD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2017-10-04T19:24:29Z</cp:lastPrinted>
  <dcterms:created xsi:type="dcterms:W3CDTF">1997-12-04T19:04:30Z</dcterms:created>
  <dcterms:modified xsi:type="dcterms:W3CDTF">2017-11-29T18:00:09Z</dcterms:modified>
</cp:coreProperties>
</file>