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28800" windowHeight="1458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D9" i="13" l="1"/>
  <c r="D11" i="13" l="1"/>
  <c r="H591" i="1" l="1"/>
  <c r="J591" i="1"/>
  <c r="F501" i="1" l="1"/>
  <c r="F502" i="1"/>
  <c r="G502" i="1"/>
  <c r="G499" i="1"/>
  <c r="F499" i="1"/>
  <c r="G498" i="1"/>
  <c r="F498" i="1"/>
  <c r="H521" i="1"/>
  <c r="J521" i="1"/>
  <c r="I521" i="1"/>
  <c r="H526" i="1"/>
  <c r="G521" i="1"/>
  <c r="F521" i="1"/>
  <c r="B20" i="12"/>
  <c r="B11" i="12"/>
  <c r="B10" i="12"/>
  <c r="B39" i="12"/>
  <c r="B19" i="12"/>
  <c r="F580" i="1"/>
  <c r="F576" i="1"/>
  <c r="H575" i="1"/>
  <c r="F583" i="1"/>
  <c r="H595" i="1"/>
  <c r="H594" i="1"/>
  <c r="H592" i="1"/>
  <c r="H472" i="1"/>
  <c r="H468" i="1"/>
  <c r="F126" i="1"/>
  <c r="F123" i="1"/>
  <c r="F117" i="1"/>
  <c r="F110" i="1"/>
  <c r="F96" i="1"/>
  <c r="H12" i="1"/>
  <c r="H110" i="1"/>
  <c r="H276" i="1"/>
  <c r="J276" i="1"/>
  <c r="H102" i="1"/>
  <c r="G472" i="1"/>
  <c r="G468" i="1"/>
  <c r="I358" i="1"/>
  <c r="F368" i="1"/>
  <c r="F367" i="1"/>
  <c r="H358" i="1"/>
  <c r="G358" i="1"/>
  <c r="F358" i="1"/>
  <c r="G158" i="1"/>
  <c r="G132" i="1"/>
  <c r="G97" i="1"/>
  <c r="G48" i="1"/>
  <c r="I277" i="1"/>
  <c r="H277" i="1"/>
  <c r="F277" i="1"/>
  <c r="G276" i="1"/>
  <c r="F276" i="1"/>
  <c r="H159" i="1"/>
  <c r="H154" i="1"/>
  <c r="H22" i="1"/>
  <c r="H13" i="1"/>
  <c r="F9" i="1"/>
  <c r="F10" i="1"/>
  <c r="J179" i="1"/>
  <c r="J96" i="1"/>
  <c r="J472" i="1"/>
  <c r="J468" i="1"/>
  <c r="G459" i="1" l="1"/>
  <c r="G43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D47" i="2"/>
  <c r="D50" i="2" s="1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E16" i="13" s="1"/>
  <c r="F5" i="13"/>
  <c r="G5" i="13"/>
  <c r="L197" i="1"/>
  <c r="L198" i="1"/>
  <c r="L199" i="1"/>
  <c r="C12" i="10" s="1"/>
  <c r="L200" i="1"/>
  <c r="L215" i="1"/>
  <c r="L216" i="1"/>
  <c r="L229" i="1" s="1"/>
  <c r="L217" i="1"/>
  <c r="L218" i="1"/>
  <c r="L233" i="1"/>
  <c r="L234" i="1"/>
  <c r="L235" i="1"/>
  <c r="L236" i="1"/>
  <c r="F6" i="13"/>
  <c r="G6" i="13"/>
  <c r="L202" i="1"/>
  <c r="C15" i="10" s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F662" i="1" s="1"/>
  <c r="L226" i="1"/>
  <c r="L244" i="1"/>
  <c r="F17" i="13"/>
  <c r="D17" i="13" s="1"/>
  <c r="C17" i="13" s="1"/>
  <c r="G17" i="13"/>
  <c r="L251" i="1"/>
  <c r="F18" i="13"/>
  <c r="G18" i="13"/>
  <c r="D18" i="13" s="1"/>
  <c r="C18" i="13" s="1"/>
  <c r="L252" i="1"/>
  <c r="F19" i="13"/>
  <c r="G19" i="13"/>
  <c r="L253" i="1"/>
  <c r="D19" i="13" s="1"/>
  <c r="C19" i="13" s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E110" i="2" s="1"/>
  <c r="L278" i="1"/>
  <c r="L279" i="1"/>
  <c r="E112" i="2" s="1"/>
  <c r="L281" i="1"/>
  <c r="L282" i="1"/>
  <c r="L283" i="1"/>
  <c r="L284" i="1"/>
  <c r="E121" i="2" s="1"/>
  <c r="L285" i="1"/>
  <c r="L286" i="1"/>
  <c r="L287" i="1"/>
  <c r="L288" i="1"/>
  <c r="E125" i="2" s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28" i="1" s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C25" i="10" s="1"/>
  <c r="L341" i="1"/>
  <c r="L342" i="1"/>
  <c r="L255" i="1"/>
  <c r="C130" i="2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93" i="1" s="1"/>
  <c r="C138" i="2" s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C40" i="10"/>
  <c r="F60" i="1"/>
  <c r="C56" i="2" s="1"/>
  <c r="G60" i="1"/>
  <c r="H60" i="1"/>
  <c r="I60" i="1"/>
  <c r="F56" i="2" s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C91" i="2" s="1"/>
  <c r="F162" i="1"/>
  <c r="G147" i="1"/>
  <c r="G162" i="1"/>
  <c r="H147" i="1"/>
  <c r="H162" i="1"/>
  <c r="I147" i="1"/>
  <c r="I162" i="1"/>
  <c r="C19" i="10"/>
  <c r="L250" i="1"/>
  <c r="L332" i="1"/>
  <c r="L254" i="1"/>
  <c r="L268" i="1"/>
  <c r="L269" i="1"/>
  <c r="C143" i="2" s="1"/>
  <c r="L349" i="1"/>
  <c r="L350" i="1"/>
  <c r="I665" i="1"/>
  <c r="I670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L351" i="1" s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D31" i="2" s="1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D56" i="2"/>
  <c r="E56" i="2"/>
  <c r="C57" i="2"/>
  <c r="E57" i="2"/>
  <c r="C58" i="2"/>
  <c r="E58" i="2"/>
  <c r="C59" i="2"/>
  <c r="D59" i="2"/>
  <c r="D62" i="2" s="1"/>
  <c r="D63" i="2" s="1"/>
  <c r="E59" i="2"/>
  <c r="F59" i="2"/>
  <c r="D60" i="2"/>
  <c r="C61" i="2"/>
  <c r="D61" i="2"/>
  <c r="E61" i="2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11" i="2"/>
  <c r="C112" i="2"/>
  <c r="C113" i="2"/>
  <c r="E113" i="2"/>
  <c r="E114" i="2"/>
  <c r="D115" i="2"/>
  <c r="F115" i="2"/>
  <c r="G115" i="2"/>
  <c r="C118" i="2"/>
  <c r="E118" i="2"/>
  <c r="E119" i="2"/>
  <c r="E120" i="2"/>
  <c r="C122" i="2"/>
  <c r="E122" i="2"/>
  <c r="E123" i="2"/>
  <c r="E124" i="2"/>
  <c r="F128" i="2"/>
  <c r="G128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G156" i="2" s="1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F32" i="1"/>
  <c r="F52" i="1" s="1"/>
  <c r="H617" i="1" s="1"/>
  <c r="G32" i="1"/>
  <c r="H32" i="1"/>
  <c r="I32" i="1"/>
  <c r="G52" i="1"/>
  <c r="H618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G211" i="1"/>
  <c r="H211" i="1"/>
  <c r="I211" i="1"/>
  <c r="I257" i="1" s="1"/>
  <c r="I271" i="1" s="1"/>
  <c r="J211" i="1"/>
  <c r="J257" i="1" s="1"/>
  <c r="J271" i="1" s="1"/>
  <c r="H604" i="1" s="1"/>
  <c r="K604" i="1" s="1"/>
  <c r="K605" i="1" s="1"/>
  <c r="G648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L256" i="1" s="1"/>
  <c r="H256" i="1"/>
  <c r="I256" i="1"/>
  <c r="J256" i="1"/>
  <c r="K256" i="1"/>
  <c r="F290" i="1"/>
  <c r="F338" i="1" s="1"/>
  <c r="F352" i="1" s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J645" i="1" s="1"/>
  <c r="H401" i="1"/>
  <c r="H408" i="1" s="1"/>
  <c r="H644" i="1" s="1"/>
  <c r="I401" i="1"/>
  <c r="F407" i="1"/>
  <c r="G407" i="1"/>
  <c r="H407" i="1"/>
  <c r="I407" i="1"/>
  <c r="F408" i="1"/>
  <c r="I408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H461" i="1" s="1"/>
  <c r="H641" i="1" s="1"/>
  <c r="F460" i="1"/>
  <c r="F461" i="1" s="1"/>
  <c r="H639" i="1" s="1"/>
  <c r="J639" i="1" s="1"/>
  <c r="G460" i="1"/>
  <c r="G461" i="1" s="1"/>
  <c r="H640" i="1" s="1"/>
  <c r="J640" i="1" s="1"/>
  <c r="H460" i="1"/>
  <c r="G470" i="1"/>
  <c r="H470" i="1"/>
  <c r="I470" i="1"/>
  <c r="J470" i="1"/>
  <c r="G474" i="1"/>
  <c r="H474" i="1"/>
  <c r="I474" i="1"/>
  <c r="J474" i="1"/>
  <c r="J476" i="1" s="1"/>
  <c r="H626" i="1" s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I545" i="1" s="1"/>
  <c r="J524" i="1"/>
  <c r="J545" i="1" s="1"/>
  <c r="K524" i="1"/>
  <c r="F529" i="1"/>
  <c r="G529" i="1"/>
  <c r="H529" i="1"/>
  <c r="I529" i="1"/>
  <c r="J529" i="1"/>
  <c r="K529" i="1"/>
  <c r="L529" i="1"/>
  <c r="F534" i="1"/>
  <c r="G534" i="1"/>
  <c r="G545" i="1" s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G565" i="1"/>
  <c r="H565" i="1"/>
  <c r="I565" i="1"/>
  <c r="J565" i="1"/>
  <c r="J571" i="1" s="1"/>
  <c r="K565" i="1"/>
  <c r="L567" i="1"/>
  <c r="L568" i="1"/>
  <c r="L569" i="1"/>
  <c r="L570" i="1" s="1"/>
  <c r="F570" i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G625" i="1"/>
  <c r="H628" i="1"/>
  <c r="H629" i="1"/>
  <c r="H630" i="1"/>
  <c r="H631" i="1"/>
  <c r="H633" i="1"/>
  <c r="H634" i="1"/>
  <c r="H635" i="1"/>
  <c r="H636" i="1"/>
  <c r="H637" i="1"/>
  <c r="H638" i="1"/>
  <c r="G639" i="1"/>
  <c r="G640" i="1"/>
  <c r="G641" i="1"/>
  <c r="G643" i="1"/>
  <c r="J643" i="1" s="1"/>
  <c r="H643" i="1"/>
  <c r="G644" i="1"/>
  <c r="G645" i="1"/>
  <c r="H647" i="1"/>
  <c r="G649" i="1"/>
  <c r="G650" i="1"/>
  <c r="G651" i="1"/>
  <c r="G652" i="1"/>
  <c r="H652" i="1"/>
  <c r="G653" i="1"/>
  <c r="H653" i="1"/>
  <c r="G654" i="1"/>
  <c r="H654" i="1"/>
  <c r="H655" i="1"/>
  <c r="C26" i="10"/>
  <c r="L290" i="1"/>
  <c r="D18" i="2"/>
  <c r="E8" i="13"/>
  <c r="C8" i="13" s="1"/>
  <c r="F18" i="2"/>
  <c r="E103" i="2"/>
  <c r="D91" i="2"/>
  <c r="G62" i="2"/>
  <c r="E13" i="13"/>
  <c r="C13" i="13" s="1"/>
  <c r="E78" i="2"/>
  <c r="H112" i="1"/>
  <c r="L433" i="1"/>
  <c r="I169" i="1"/>
  <c r="H169" i="1"/>
  <c r="G552" i="1"/>
  <c r="I476" i="1"/>
  <c r="H625" i="1" s="1"/>
  <c r="J625" i="1" s="1"/>
  <c r="G476" i="1"/>
  <c r="H623" i="1" s="1"/>
  <c r="J623" i="1" s="1"/>
  <c r="J140" i="1"/>
  <c r="F571" i="1"/>
  <c r="G22" i="2"/>
  <c r="K545" i="1"/>
  <c r="H140" i="1"/>
  <c r="J651" i="1"/>
  <c r="H571" i="1"/>
  <c r="H338" i="1"/>
  <c r="H352" i="1" s="1"/>
  <c r="G192" i="1"/>
  <c r="H192" i="1"/>
  <c r="L309" i="1"/>
  <c r="J636" i="1"/>
  <c r="L565" i="1"/>
  <c r="L247" i="1" l="1"/>
  <c r="H660" i="1" s="1"/>
  <c r="C124" i="2"/>
  <c r="C21" i="10"/>
  <c r="I662" i="1"/>
  <c r="D15" i="13"/>
  <c r="C15" i="13" s="1"/>
  <c r="D14" i="13"/>
  <c r="C14" i="13" s="1"/>
  <c r="C18" i="10"/>
  <c r="C17" i="10"/>
  <c r="H605" i="1"/>
  <c r="C111" i="2"/>
  <c r="A31" i="12"/>
  <c r="A40" i="12"/>
  <c r="F663" i="1"/>
  <c r="K549" i="1"/>
  <c r="H257" i="1"/>
  <c r="H271" i="1" s="1"/>
  <c r="G164" i="2"/>
  <c r="G161" i="2"/>
  <c r="J552" i="1"/>
  <c r="L539" i="1"/>
  <c r="I552" i="1"/>
  <c r="H545" i="1"/>
  <c r="F552" i="1"/>
  <c r="A13" i="12"/>
  <c r="K598" i="1"/>
  <c r="G647" i="1" s="1"/>
  <c r="J647" i="1" s="1"/>
  <c r="J649" i="1"/>
  <c r="H476" i="1"/>
  <c r="H624" i="1" s="1"/>
  <c r="C132" i="2"/>
  <c r="L270" i="1"/>
  <c r="C32" i="10"/>
  <c r="D12" i="13"/>
  <c r="C12" i="13" s="1"/>
  <c r="D7" i="13"/>
  <c r="C7" i="13" s="1"/>
  <c r="C16" i="10"/>
  <c r="D6" i="13"/>
  <c r="C6" i="13" s="1"/>
  <c r="K257" i="1"/>
  <c r="K271" i="1" s="1"/>
  <c r="G257" i="1"/>
  <c r="G271" i="1" s="1"/>
  <c r="F192" i="1"/>
  <c r="C78" i="2"/>
  <c r="C81" i="2" s="1"/>
  <c r="F112" i="1"/>
  <c r="C62" i="2"/>
  <c r="C63" i="2" s="1"/>
  <c r="E62" i="2"/>
  <c r="E63" i="2" s="1"/>
  <c r="G619" i="1"/>
  <c r="H48" i="1"/>
  <c r="J634" i="1"/>
  <c r="H661" i="1"/>
  <c r="C11" i="10"/>
  <c r="C10" i="10"/>
  <c r="J617" i="1"/>
  <c r="C18" i="2"/>
  <c r="J655" i="1"/>
  <c r="J644" i="1"/>
  <c r="L401" i="1"/>
  <c r="C139" i="2" s="1"/>
  <c r="E128" i="2"/>
  <c r="E115" i="2"/>
  <c r="E145" i="2" s="1"/>
  <c r="E33" i="13"/>
  <c r="D35" i="13" s="1"/>
  <c r="C16" i="13"/>
  <c r="J641" i="1"/>
  <c r="D5" i="13"/>
  <c r="C5" i="13" s="1"/>
  <c r="F22" i="13"/>
  <c r="C22" i="13" s="1"/>
  <c r="K550" i="1"/>
  <c r="D29" i="13"/>
  <c r="C29" i="13" s="1"/>
  <c r="L534" i="1"/>
  <c r="K500" i="1"/>
  <c r="I460" i="1"/>
  <c r="I452" i="1"/>
  <c r="I446" i="1"/>
  <c r="G642" i="1" s="1"/>
  <c r="F271" i="1"/>
  <c r="C125" i="2"/>
  <c r="C123" i="2"/>
  <c r="C121" i="2"/>
  <c r="C119" i="2"/>
  <c r="C114" i="2"/>
  <c r="C110" i="2"/>
  <c r="C115" i="2" s="1"/>
  <c r="G661" i="1"/>
  <c r="I661" i="1" s="1"/>
  <c r="L211" i="1"/>
  <c r="L257" i="1" s="1"/>
  <c r="C20" i="10"/>
  <c r="L362" i="1"/>
  <c r="C27" i="10" s="1"/>
  <c r="C35" i="10"/>
  <c r="C29" i="10"/>
  <c r="L544" i="1"/>
  <c r="L524" i="1"/>
  <c r="J338" i="1"/>
  <c r="J352" i="1" s="1"/>
  <c r="D127" i="2"/>
  <c r="D128" i="2" s="1"/>
  <c r="D145" i="2" s="1"/>
  <c r="C120" i="2"/>
  <c r="C13" i="10"/>
  <c r="K551" i="1"/>
  <c r="H25" i="13"/>
  <c r="F169" i="1"/>
  <c r="E81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G140" i="1"/>
  <c r="F140" i="1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J652" i="1"/>
  <c r="G571" i="1"/>
  <c r="I434" i="1"/>
  <c r="G434" i="1"/>
  <c r="I663" i="1"/>
  <c r="G635" i="1"/>
  <c r="J635" i="1" s="1"/>
  <c r="H664" i="1" l="1"/>
  <c r="H672" i="1" s="1"/>
  <c r="C6" i="10" s="1"/>
  <c r="L545" i="1"/>
  <c r="L271" i="1"/>
  <c r="F472" i="1" s="1"/>
  <c r="G632" i="1"/>
  <c r="F660" i="1"/>
  <c r="F664" i="1" s="1"/>
  <c r="F667" i="1" s="1"/>
  <c r="C104" i="2"/>
  <c r="C36" i="10"/>
  <c r="F193" i="1"/>
  <c r="H51" i="1"/>
  <c r="E47" i="2"/>
  <c r="E50" i="2" s="1"/>
  <c r="E51" i="2" s="1"/>
  <c r="C28" i="10"/>
  <c r="D22" i="10" s="1"/>
  <c r="E104" i="2"/>
  <c r="H646" i="1"/>
  <c r="J646" i="1" s="1"/>
  <c r="H648" i="1"/>
  <c r="J648" i="1" s="1"/>
  <c r="F33" i="13"/>
  <c r="C39" i="10"/>
  <c r="C25" i="13"/>
  <c r="H33" i="13"/>
  <c r="I461" i="1"/>
  <c r="H642" i="1" s="1"/>
  <c r="J642" i="1" s="1"/>
  <c r="K552" i="1"/>
  <c r="C128" i="2"/>
  <c r="C145" i="2" s="1"/>
  <c r="D31" i="13"/>
  <c r="C31" i="13" s="1"/>
  <c r="G664" i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67" i="1" l="1"/>
  <c r="G627" i="1"/>
  <c r="F468" i="1"/>
  <c r="H632" i="1"/>
  <c r="J632" i="1" s="1"/>
  <c r="F474" i="1"/>
  <c r="F672" i="1"/>
  <c r="C4" i="10" s="1"/>
  <c r="I660" i="1"/>
  <c r="I664" i="1" s="1"/>
  <c r="I672" i="1" s="1"/>
  <c r="C7" i="10" s="1"/>
  <c r="H52" i="1"/>
  <c r="H619" i="1" s="1"/>
  <c r="J619" i="1" s="1"/>
  <c r="G624" i="1"/>
  <c r="J624" i="1" s="1"/>
  <c r="D16" i="10"/>
  <c r="D23" i="10"/>
  <c r="D20" i="10"/>
  <c r="D15" i="10"/>
  <c r="D17" i="10"/>
  <c r="D10" i="10"/>
  <c r="D12" i="10"/>
  <c r="D18" i="10"/>
  <c r="C30" i="10"/>
  <c r="D19" i="10"/>
  <c r="D27" i="10"/>
  <c r="D26" i="10"/>
  <c r="D25" i="10"/>
  <c r="D24" i="10"/>
  <c r="D13" i="10"/>
  <c r="D11" i="10"/>
  <c r="D21" i="10"/>
  <c r="D33" i="13"/>
  <c r="D36" i="13" s="1"/>
  <c r="G672" i="1"/>
  <c r="C5" i="10" s="1"/>
  <c r="G667" i="1"/>
  <c r="C41" i="10"/>
  <c r="D38" i="10" s="1"/>
  <c r="F470" i="1" l="1"/>
  <c r="F476" i="1" s="1"/>
  <c r="H622" i="1" s="1"/>
  <c r="H627" i="1"/>
  <c r="J627" i="1"/>
  <c r="I667" i="1"/>
  <c r="D28" i="10"/>
  <c r="D37" i="10"/>
  <c r="D36" i="10"/>
  <c r="D35" i="10"/>
  <c r="D40" i="10"/>
  <c r="D39" i="10"/>
  <c r="J622" i="1" l="1"/>
  <c r="H656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<sst xmlns="http://schemas.openxmlformats.org/spreadsheetml/2006/main" count="3960" uniqueCount="918">
  <si>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</si>
  <si>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</si>
  <si>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</si>
  <si>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</si>
  <si>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</si>
  <si>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</si>
  <si>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</si>
  <si>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</si>
  <si>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</si>
  <si>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</si>
  <si>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</si>
  <si>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</si>
  <si>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</si>
  <si>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</si>
  <si>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</si>
  <si>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</si>
  <si>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</si>
  <si>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</si>
  <si>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</si>
  <si>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</si>
  <si>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</si>
  <si>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</si>
  <si>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</si>
  <si>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</si>
  <si>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</si>
  <si>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</si>
  <si>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</si>
  <si>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</si>
  <si>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</si>
  <si>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</si>
  <si>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</si>
  <si>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</si>
  <si>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</si>
  <si>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</si>
  <si>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</si>
  <si>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</si>
  <si>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</si>
  <si>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</si>
  <si>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</si>
  <si>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</si>
  <si>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</si>
  <si>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</si>
  <si>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</si>
  <si>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</si>
  <si>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</si>
  <si>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</si>
  <si>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</si>
  <si>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</si>
  <si>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</si>
  <si>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</si>
  <si>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</si>
  <si>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</si>
  <si>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</si>
  <si>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</si>
  <si>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</si>
  <si>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</si>
  <si>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</si>
  <si>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</si>
  <si>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</si>
  <si>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</si>
  <si>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</si>
  <si>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</si>
  <si>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</si>
  <si>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</si>
  <si>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</si>
  <si>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</si>
  <si>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</si>
  <si>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</si>
  <si>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</si>
  <si>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</si>
  <si>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</si>
  <si>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</si>
  <si>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</si>
  <si>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</si>
  <si>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</si>
  <si>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</si>
  <si>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</si>
  <si>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</si>
  <si>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</si>
  <si>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</si>
  <si>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</si>
  <si>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</si>
  <si>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</si>
  <si>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</si>
  <si>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</si>
  <si>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</si>
  <si>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</si>
  <si>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</si>
  <si>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</si>
  <si>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</si>
  <si>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</si>
  <si>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</si>
  <si>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</si>
  <si>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</si>
  <si>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</si>
  <si>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</si>
  <si>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</si>
  <si>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</si>
  <si>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</si>
  <si>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</si>
  <si>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</si>
  <si>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</si>
  <si>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</si>
  <si>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</si>
  <si>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</si>
  <si>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</si>
  <si>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</si>
  <si>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</si>
  <si>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</si>
  <si>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</si>
  <si>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</si>
  <si>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</si>
  <si>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</si>
  <si>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</si>
  <si>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</si>
  <si>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</si>
  <si>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</si>
  <si>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</si>
  <si>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</si>
  <si>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</si>
  <si>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</si>
  <si>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</si>
  <si>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</si>
  <si>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</si>
  <si>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</si>
  <si>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</si>
  <si>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</si>
  <si>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</si>
  <si>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</si>
  <si>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</si>
  <si>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</si>
  <si>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</si>
  <si>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</si>
  <si>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</si>
  <si>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</si>
  <si>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</si>
  <si>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</si>
  <si>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</si>
  <si>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</si>
  <si>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</si>
  <si>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</si>
  <si>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</si>
  <si>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</si>
  <si>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</si>
  <si>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</si>
  <si>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</si>
  <si>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</si>
  <si>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</si>
  <si>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</si>
  <si>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</si>
  <si>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</si>
  <si>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</si>
  <si>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</si>
  <si>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</si>
  <si>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</si>
  <si>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</si>
  <si>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</si>
  <si>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</si>
  <si>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</si>
  <si>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</si>
  <si>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</si>
  <si>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</si>
  <si>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</si>
  <si>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</si>
  <si>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</si>
  <si>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</si>
  <si>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</si>
  <si>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</si>
  <si>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</si>
  <si>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</si>
  <si>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</si>
  <si>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</si>
  <si>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</si>
  <si>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</si>
  <si>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</si>
  <si>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</si>
  <si>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</si>
  <si>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</si>
  <si>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</si>
  <si>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</si>
  <si>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</si>
  <si>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</si>
  <si>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</si>
  <si>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</si>
  <si>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</si>
  <si>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</si>
  <si>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</si>
  <si>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</si>
  <si>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</si>
  <si>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</si>
  <si>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</si>
  <si>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</si>
  <si>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</si>
  <si>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</si>
  <si>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</si>
  <si>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</si>
  <si>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</si>
  <si>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</si>
  <si>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</si>
  <si>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</si>
  <si>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</si>
  <si>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</si>
  <si>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</si>
  <si>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</si>
  <si>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</si>
  <si>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</si>
  <si>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</si>
  <si>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</si>
  <si>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</si>
  <si>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</si>
  <si>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</si>
  <si>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</si>
  <si>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</si>
  <si>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</si>
  <si>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</si>
  <si>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</si>
  <si>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</si>
  <si>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</si>
  <si>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</si>
  <si>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</si>
  <si>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</si>
  <si>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</si>
  <si>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</si>
  <si>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</si>
  <si>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</si>
  <si>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</si>
  <si>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</si>
  <si>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</si>
  <si>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</si>
  <si>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</si>
  <si>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</si>
  <si>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</si>
  <si>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</si>
  <si>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</si>
  <si>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</si>
  <si>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</si>
  <si>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</si>
  <si>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</si>
  <si>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</si>
  <si>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</si>
  <si>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</si>
  <si>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</si>
  <si>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</si>
  <si>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</si>
  <si>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</si>
  <si>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</si>
  <si>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</si>
  <si>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</si>
  <si>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</si>
  <si>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</si>
  <si>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</si>
  <si>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</si>
  <si>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</si>
  <si>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</si>
  <si>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</si>
  <si>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</si>
  <si>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</si>
  <si>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</si>
  <si>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</si>
  <si>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</si>
  <si>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</si>
  <si>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</si>
  <si>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</si>
  <si>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</si>
  <si>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</si>
  <si>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</si>
  <si>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</si>
  <si>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</si>
  <si>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</si>
  <si>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</si>
  <si>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</si>
  <si>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</si>
  <si>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</si>
  <si>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</si>
  <si>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</si>
  <si>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</si>
  <si>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</si>
  <si>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</si>
  <si>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</si>
  <si>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</si>
  <si>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</si>
  <si>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</si>
  <si>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</si>
  <si>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</si>
  <si>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</si>
  <si>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</si>
  <si>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</si>
  <si>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</si>
  <si>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</si>
  <si>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</si>
  <si>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</si>
  <si>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</si>
  <si>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</si>
  <si>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</si>
  <si>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</si>
  <si>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</si>
  <si>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</si>
  <si>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</si>
  <si>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</si>
  <si>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</si>
  <si>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</si>
  <si>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</si>
  <si>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</si>
  <si>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</si>
  <si>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</si>
  <si>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</si>
  <si>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</si>
  <si>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</si>
  <si>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</si>
  <si>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</si>
  <si>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</si>
  <si>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</si>
  <si>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</si>
  <si>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</si>
  <si>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</si>
  <si>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</si>
  <si>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</si>
  <si>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</si>
  <si>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</si>
  <si>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</si>
  <si>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</si>
  <si>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</si>
  <si>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</si>
  <si>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</si>
  <si>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</si>
  <si>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</si>
  <si>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</si>
  <si>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</si>
  <si>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</si>
  <si>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</si>
  <si>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</si>
  <si>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</si>
  <si>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</si>
  <si>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</si>
  <si>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</si>
  <si>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</si>
  <si>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</si>
  <si>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</si>
  <si>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</si>
  <si>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</si>
  <si>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</si>
  <si>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</si>
  <si>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</si>
  <si>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</si>
  <si>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</si>
  <si>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</si>
  <si>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</si>
  <si>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</si>
  <si>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</si>
  <si>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</si>
  <si>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</si>
  <si>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</si>
  <si>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</si>
  <si>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</si>
  <si>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</si>
  <si>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</si>
  <si>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</si>
  <si>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</si>
  <si>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</si>
  <si>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</si>
  <si>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</si>
  <si>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</si>
  <si>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</si>
  <si>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</si>
  <si>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</si>
  <si>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</si>
  <si>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</si>
  <si>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</si>
  <si>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</si>
  <si>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</si>
  <si>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</si>
  <si>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</si>
  <si>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</si>
  <si>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</si>
  <si>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</si>
  <si>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</si>
  <si>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</si>
  <si>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</si>
  <si>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</si>
  <si>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</si>
  <si>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</si>
  <si>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</si>
  <si>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</si>
  <si>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</si>
  <si>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</si>
  <si>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</si>
  <si>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</si>
  <si>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</si>
  <si>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</si>
  <si>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</si>
  <si>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</si>
  <si>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</si>
  <si>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</si>
  <si>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</si>
  <si>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</si>
  <si>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</si>
  <si>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</si>
  <si>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</si>
  <si>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</si>
  <si>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</si>
  <si>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</si>
  <si>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</si>
  <si>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</si>
  <si>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</si>
  <si>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</si>
  <si>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</si>
  <si>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</si>
  <si>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</si>
  <si>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</si>
  <si>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</si>
  <si>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</si>
  <si>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</si>
  <si>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</si>
  <si>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</si>
  <si>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</si>
  <si>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</si>
  <si>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</si>
  <si>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</si>
  <si>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</si>
  <si>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</si>
  <si>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</si>
  <si>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</si>
  <si>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</si>
  <si>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</si>
  <si>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</si>
  <si>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</si>
  <si>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</si>
  <si>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</si>
  <si>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</si>
  <si>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</si>
  <si>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</si>
  <si>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</si>
  <si>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</si>
  <si>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</si>
  <si>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</si>
  <si>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</si>
  <si>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</si>
  <si>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</si>
  <si>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</si>
  <si>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</si>
  <si>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</si>
  <si>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</si>
  <si>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</si>
  <si>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</si>
  <si>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</si>
  <si>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</si>
  <si>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</si>
  <si>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</si>
  <si>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</si>
  <si>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</si>
  <si>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</si>
  <si>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</si>
  <si>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</si>
  <si>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</si>
  <si>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</si>
  <si>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</si>
  <si>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</si>
  <si>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</si>
  <si>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</si>
  <si>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</si>
  <si>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</si>
  <si>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</si>
  <si>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</si>
  <si>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</si>
  <si>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</si>
  <si>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</si>
  <si>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</si>
  <si>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</si>
  <si>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</si>
  <si>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</si>
  <si>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</si>
  <si>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</si>
  <si>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</si>
  <si>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</si>
  <si>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</si>
  <si>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</si>
  <si>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</si>
  <si>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</si>
  <si>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</si>
  <si>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</si>
  <si>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</si>
  <si>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</si>
  <si>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</si>
  <si>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</si>
  <si>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</si>
  <si>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</si>
  <si>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</si>
  <si>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</si>
  <si>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</si>
  <si>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</si>
  <si>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</si>
  <si>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</si>
  <si>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</si>
  <si>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</si>
  <si>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</si>
  <si>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</si>
  <si>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</si>
  <si>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</si>
  <si>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</si>
  <si>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</si>
  <si>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</si>
  <si>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</si>
  <si>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</si>
  <si>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</si>
  <si>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</si>
  <si>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</si>
  <si>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</si>
  <si>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</si>
  <si>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</si>
  <si>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</si>
  <si>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</si>
  <si>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</si>
  <si>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</si>
  <si>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</si>
  <si>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</si>
  <si>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</si>
  <si>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</si>
  <si>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</si>
  <si>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</si>
  <si>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</si>
  <si>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</si>
  <si>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</si>
  <si>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</si>
  <si>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</si>
  <si>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</si>
  <si>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</si>
  <si>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</si>
  <si>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</si>
  <si>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</si>
  <si>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</si>
  <si>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</si>
  <si>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</si>
  <si>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</si>
  <si>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</si>
  <si>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</si>
  <si>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</si>
  <si>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</si>
  <si>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</si>
  <si>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</si>
  <si>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</si>
  <si>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</si>
  <si>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</si>
  <si>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</si>
  <si>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</si>
  <si>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</si>
  <si>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</si>
  <si>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</si>
  <si>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</si>
  <si>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</si>
  <si>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</si>
  <si>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</si>
  <si>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</si>
  <si>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</si>
  <si>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</si>
  <si>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</si>
  <si>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</si>
  <si>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</si>
  <si>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</si>
  <si>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</si>
  <si>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</si>
  <si>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</si>
  <si>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</si>
  <si>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</si>
  <si>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</si>
  <si>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</si>
  <si>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</si>
  <si>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</si>
  <si>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</si>
  <si>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</si>
  <si>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</si>
  <si>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</si>
  <si>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</si>
  <si>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</si>
  <si>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</si>
  <si>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</si>
  <si>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</si>
  <si>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</si>
  <si>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</si>
  <si>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</si>
  <si>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</si>
  <si>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</si>
  <si>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</si>
  <si>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</si>
  <si>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</si>
  <si>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</si>
  <si>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</si>
  <si>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</si>
  <si>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</si>
  <si>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</si>
  <si>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</si>
  <si>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</si>
  <si>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</si>
  <si>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</si>
  <si>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</si>
  <si>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</si>
  <si>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</si>
  <si>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</si>
  <si>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</si>
  <si>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</si>
  <si>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</si>
  <si>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</si>
  <si>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</si>
  <si>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</si>
  <si>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</si>
  <si>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</si>
  <si>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</si>
  <si>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</si>
  <si>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</si>
  <si>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</si>
  <si>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</si>
  <si>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</si>
  <si>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</si>
  <si>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</si>
  <si>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</si>
  <si>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</si>
  <si>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</si>
  <si>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</si>
  <si>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</si>
  <si>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</si>
  <si>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</si>
  <si>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</si>
  <si>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</si>
  <si>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</si>
  <si>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</si>
  <si>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</si>
  <si>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</si>
  <si>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</si>
  <si>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</si>
  <si>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</si>
  <si>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</si>
  <si>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</si>
  <si>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</si>
  <si>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</si>
  <si>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</si>
  <si>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</si>
  <si>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</si>
  <si>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</si>
  <si>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</si>
  <si>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</si>
  <si>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</si>
  <si>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</si>
  <si>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</si>
  <si>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</si>
  <si>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</si>
  <si>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</si>
  <si>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</si>
  <si>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</si>
  <si>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</si>
  <si>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</si>
  <si>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</si>
  <si>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</si>
  <si>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</si>
  <si>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</si>
  <si>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</si>
  <si>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</si>
  <si>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</si>
  <si>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</si>
  <si>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</si>
  <si>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</si>
  <si>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</si>
  <si>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</si>
  <si>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</si>
  <si>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</si>
  <si>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</si>
  <si>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</si>
  <si>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</si>
  <si>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</si>
  <si>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</si>
  <si>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</si>
  <si>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</si>
  <si>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</si>
  <si>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</si>
  <si>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</si>
  <si>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</si>
  <si>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</si>
  <si>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</si>
  <si>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</si>
  <si>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</si>
  <si>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</si>
  <si>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</si>
  <si>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</si>
  <si>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</si>
  <si>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</si>
  <si>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</si>
  <si>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</si>
  <si>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</si>
  <si>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</si>
  <si>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</si>
  <si>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</si>
  <si>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</si>
  <si>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</si>
  <si>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</si>
  <si>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</si>
  <si>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</si>
  <si>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</si>
  <si>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</si>
  <si>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</si>
  <si>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</si>
  <si>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</si>
  <si>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</si>
  <si>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</si>
  <si>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</si>
  <si>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</si>
  <si>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</si>
  <si>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</si>
  <si>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</si>
  <si>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</si>
  <si>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</si>
  <si>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</si>
  <si>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</si>
  <si>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</si>
  <si>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</si>
  <si>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</si>
  <si>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</si>
  <si>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</si>
  <si>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</si>
  <si>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</si>
  <si>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</si>
  <si>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</si>
  <si>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</si>
  <si>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</si>
  <si>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</si>
  <si>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</si>
  <si>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</si>
  <si>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</si>
  <si>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</si>
  <si>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</si>
  <si>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</si>
  <si>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</si>
  <si>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</si>
  <si>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</si>
  <si>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</si>
  <si>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</si>
  <si>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</si>
  <si>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</si>
  <si>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</si>
  <si>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</si>
  <si>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</si>
  <si>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</si>
  <si>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</si>
  <si>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</si>
  <si>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</si>
  <si>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</si>
  <si>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</si>
  <si>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</si>
  <si>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</si>
  <si>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</si>
  <si>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</si>
  <si>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</si>
  <si>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</si>
  <si>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</si>
  <si>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</si>
  <si>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</si>
  <si>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</si>
  <si>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</si>
  <si>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</si>
  <si>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</si>
  <si>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</si>
  <si>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</si>
  <si>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</si>
  <si>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</si>
  <si>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</si>
  <si>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</si>
  <si>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</si>
  <si>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</si>
  <si>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</si>
  <si>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</si>
  <si>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</si>
  <si>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</si>
  <si>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</si>
  <si>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</si>
  <si>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</si>
  <si>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</si>
  <si>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</si>
  <si>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</si>
  <si>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</si>
  <si>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</si>
  <si>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</si>
  <si>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</si>
  <si>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</si>
  <si>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</si>
  <si>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</si>
  <si>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</si>
  <si>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</si>
  <si>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</si>
  <si>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</si>
  <si>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</si>
  <si>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</si>
  <si>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</si>
  <si>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</si>
  <si>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</si>
  <si>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</si>
  <si>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</si>
  <si>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</si>
  <si>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</si>
  <si>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</si>
  <si>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</si>
  <si>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</si>
  <si>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</si>
  <si>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</si>
  <si>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</si>
  <si>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</si>
  <si>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</si>
  <si>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</si>
  <si>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</si>
  <si>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</si>
  <si>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</si>
  <si>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</si>
  <si>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</si>
  <si>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</si>
  <si>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</si>
  <si>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</si>
  <si>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</si>
  <si>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</si>
  <si>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</si>
  <si>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</si>
  <si>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</si>
  <si>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</si>
  <si>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</si>
  <si>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</si>
  <si>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</si>
  <si>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</si>
  <si>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</si>
  <si>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</si>
  <si>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</si>
  <si>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</si>
  <si>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</si>
  <si>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</si>
  <si>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</si>
  <si>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</si>
  <si>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</si>
  <si>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</si>
  <si>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</si>
  <si>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</si>
  <si>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</si>
  <si>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</si>
  <si>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</si>
  <si>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</si>
  <si>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</si>
  <si>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</si>
  <si>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</si>
  <si>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</si>
  <si>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</si>
  <si>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</si>
  <si>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</si>
  <si>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</si>
  <si>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</si>
  <si>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</si>
  <si>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</si>
  <si>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</si>
  <si>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</si>
  <si>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</si>
  <si>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</si>
  <si>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</si>
  <si>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</si>
  <si>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</si>
  <si>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</si>
  <si>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</si>
  <si>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</si>
  <si>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</si>
  <si>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</si>
  <si>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</si>
  <si>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</si>
  <si>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</si>
  <si>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</si>
  <si>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</si>
  <si>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</si>
  <si>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</si>
  <si>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</si>
  <si>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</si>
  <si>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</si>
  <si>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</si>
  <si>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</si>
  <si>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</si>
  <si>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</si>
  <si>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</si>
  <si>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</si>
  <si>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</si>
  <si>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</si>
  <si>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</si>
  <si>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</si>
  <si>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</si>
  <si>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</si>
  <si>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</si>
  <si>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</si>
  <si>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</si>
  <si>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</si>
  <si>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</si>
  <si>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</si>
  <si>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</si>
  <si>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</si>
  <si>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</si>
  <si>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</si>
  <si>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</si>
  <si>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</si>
  <si>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</si>
  <si>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</si>
  <si>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</si>
  <si>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</si>
  <si>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</si>
  <si>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</si>
  <si>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</si>
  <si>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</si>
  <si>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</si>
  <si>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</si>
  <si>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</si>
  <si>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</si>
  <si>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</si>
  <si>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</si>
  <si>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</si>
  <si>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</si>
  <si>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</si>
  <si>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Plainfield School District</t>
  </si>
  <si>
    <t>12/10</t>
  </si>
  <si>
    <t>07/12</t>
  </si>
  <si>
    <t>01/21</t>
  </si>
  <si>
    <t>08/22</t>
  </si>
  <si>
    <t>Auditor adjustment to prior year (SRF and Trust)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</si>
</sst>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4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43" fontId="4" fillId="0" borderId="0" xfId="0" applyNumberFormat="1" applyFont="1" applyProtection="1">
      <protection locked="0"/>
    </xf>
    <xf numFmtId="38" fontId="2" fillId="0" borderId="0" xfId="0" quotePrefix="1" applyNumberFormat="1" applyFont="1" applyAlignment="1" applyProtection="1">
      <alignment horizontal="center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F46" sqref="F4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441</v>
      </c>
      <c r="C2" s="21">
        <v>441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f>201728.01</f>
        <v>201728.01</v>
      </c>
      <c r="G9" s="18"/>
      <c r="H9" s="18"/>
      <c r="I9" s="18"/>
      <c r="J9" s="67">
        <f>SUM(I439)</f>
        <v>344791.67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>
        <f>54139.62</f>
        <v>54139.62</v>
      </c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37732.58</v>
      </c>
      <c r="G12" s="18">
        <v>1559.37</v>
      </c>
      <c r="H12" s="18">
        <f>26462.97+4811.67</f>
        <v>31274.639999999999</v>
      </c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/>
      <c r="G13" s="18"/>
      <c r="H13" s="18">
        <f>3486.92+13948.27</f>
        <v>17435.190000000002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4668.72</v>
      </c>
      <c r="G14" s="18">
        <v>787.38</v>
      </c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298268.93</v>
      </c>
      <c r="G19" s="41">
        <f>SUM(G9:G18)</f>
        <v>2346.75</v>
      </c>
      <c r="H19" s="41">
        <f>SUM(H9:H18)</f>
        <v>48709.83</v>
      </c>
      <c r="I19" s="41">
        <f>SUM(I9:I18)</f>
        <v>0</v>
      </c>
      <c r="J19" s="41">
        <f>SUM(J9:J18)</f>
        <v>344791.67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15398.42</v>
      </c>
      <c r="G22" s="18"/>
      <c r="H22" s="18">
        <f>3486.92+13948.27</f>
        <v>17435.190000000002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37732.980000000003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112004.45</v>
      </c>
      <c r="G24" s="18">
        <v>1050.3900000000001</v>
      </c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28.23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>
        <v>4811.67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127431.09999999999</v>
      </c>
      <c r="G32" s="41">
        <f>SUM(G22:G31)</f>
        <v>1050.3900000000001</v>
      </c>
      <c r="H32" s="41">
        <f>SUM(H22:H31)</f>
        <v>22246.86</v>
      </c>
      <c r="I32" s="41">
        <f>SUM(I22:I31)</f>
        <v>0</v>
      </c>
      <c r="J32" s="41">
        <f>SUM(J22:J31)</f>
        <v>37732.980000000003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>
        <v>0</v>
      </c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>
        <f>G19-G32</f>
        <v>1296.3599999999999</v>
      </c>
      <c r="H48" s="18">
        <f>H19-H32</f>
        <v>26462.97</v>
      </c>
      <c r="I48" s="18"/>
      <c r="J48" s="13">
        <f>SUM(I459)</f>
        <v>307058.68999999994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34065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136772.83000000002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170837.83000000002</v>
      </c>
      <c r="G51" s="41">
        <f>SUM(G35:G50)</f>
        <v>1296.3599999999999</v>
      </c>
      <c r="H51" s="41">
        <f>SUM(H35:H50)</f>
        <v>26462.97</v>
      </c>
      <c r="I51" s="41">
        <f>SUM(I35:I50)</f>
        <v>0</v>
      </c>
      <c r="J51" s="41">
        <f>SUM(J35:J50)</f>
        <v>307058.68999999994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298268.93</v>
      </c>
      <c r="G52" s="41">
        <f>G51+G32</f>
        <v>2346.75</v>
      </c>
      <c r="H52" s="41">
        <f>H51+H32</f>
        <v>48709.83</v>
      </c>
      <c r="I52" s="41">
        <f>I51+I32</f>
        <v>0</v>
      </c>
      <c r="J52" s="41">
        <f>J51+J32</f>
        <v>344791.66999999993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4641031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4641031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>
        <v>0</v>
      </c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f>18.25+852.75</f>
        <v>871</v>
      </c>
      <c r="G96" s="18"/>
      <c r="H96" s="18"/>
      <c r="I96" s="18"/>
      <c r="J96" s="18">
        <f>633.55+277.3+111.03</f>
        <v>1021.8799999999999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f>21580.39</f>
        <v>21580.39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>
        <f>47530</f>
        <v>47530</v>
      </c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f>20041.1</f>
        <v>20041.099999999999</v>
      </c>
      <c r="G110" s="18"/>
      <c r="H110" s="18">
        <f>7033.34-4108.34</f>
        <v>2925</v>
      </c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20912.099999999999</v>
      </c>
      <c r="G111" s="41">
        <f>SUM(G96:G110)</f>
        <v>21580.39</v>
      </c>
      <c r="H111" s="41">
        <f>SUM(H96:H110)</f>
        <v>50455</v>
      </c>
      <c r="I111" s="41">
        <f>SUM(I96:I110)</f>
        <v>0</v>
      </c>
      <c r="J111" s="41">
        <f>SUM(J96:J110)</f>
        <v>1021.8799999999999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4661943.0999999996</v>
      </c>
      <c r="G112" s="41">
        <f>G60+G111</f>
        <v>21580.39</v>
      </c>
      <c r="H112" s="41">
        <f>H60+H79+H94+H111</f>
        <v>50455</v>
      </c>
      <c r="I112" s="41">
        <f>I60+I111</f>
        <v>0</v>
      </c>
      <c r="J112" s="41">
        <f>J60+J111</f>
        <v>1021.8799999999999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f>653020.2</f>
        <v>653020.19999999995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641523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1294543.2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f>10502.33</f>
        <v>10502.33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f>122221.1</f>
        <v>122221.1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f>491.78</f>
        <v>491.78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132723.43</v>
      </c>
      <c r="G136" s="41">
        <f>SUM(G123:G135)</f>
        <v>491.78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1427266.63</v>
      </c>
      <c r="G140" s="41">
        <f>G121+SUM(G136:G137)</f>
        <v>491.78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>
        <v>18115.28</v>
      </c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f>14937.53</f>
        <v>14937.53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/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f>9138.3</f>
        <v>9138.2999999999993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f>41454.29+2250</f>
        <v>43704.29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69726.73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69726.73</v>
      </c>
      <c r="G162" s="41">
        <f>SUM(G150:G161)</f>
        <v>9138.2999999999993</v>
      </c>
      <c r="H162" s="41">
        <f>SUM(H150:H161)</f>
        <v>76757.100000000006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69726.73</v>
      </c>
      <c r="G169" s="41">
        <f>G147+G162+SUM(G163:G168)</f>
        <v>9138.2999999999993</v>
      </c>
      <c r="H169" s="41">
        <f>H147+H162+SUM(H163:H168)</f>
        <v>76757.100000000006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27675.47</v>
      </c>
      <c r="H179" s="18"/>
      <c r="I179" s="18"/>
      <c r="J179" s="18">
        <f>60000</f>
        <v>60000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27675.47</v>
      </c>
      <c r="H183" s="41">
        <f>SUM(H179:H182)</f>
        <v>0</v>
      </c>
      <c r="I183" s="41">
        <f>SUM(I179:I182)</f>
        <v>0</v>
      </c>
      <c r="J183" s="41">
        <f>SUM(J179:J182)</f>
        <v>60000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>
        <v>37732.980000000003</v>
      </c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37732.980000000003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37732.980000000003</v>
      </c>
      <c r="G192" s="41">
        <f>G183+SUM(G188:G191)</f>
        <v>27675.47</v>
      </c>
      <c r="H192" s="41">
        <f>+H183+SUM(H188:H191)</f>
        <v>0</v>
      </c>
      <c r="I192" s="41">
        <f>I177+I183+SUM(I188:I191)</f>
        <v>0</v>
      </c>
      <c r="J192" s="41">
        <f>J183</f>
        <v>60000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6196669.4400000004</v>
      </c>
      <c r="G193" s="47">
        <f>G112+G140+G169+G192</f>
        <v>58885.94</v>
      </c>
      <c r="H193" s="47">
        <f>H112+H140+H169+H192</f>
        <v>127212.1</v>
      </c>
      <c r="I193" s="47">
        <f>I112+I140+I169+I192</f>
        <v>0</v>
      </c>
      <c r="J193" s="47">
        <f>J112+J140+J192</f>
        <v>61021.88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1215202.6100000001</v>
      </c>
      <c r="G197" s="18">
        <v>600622.82999999996</v>
      </c>
      <c r="H197" s="18">
        <v>36628.189999999944</v>
      </c>
      <c r="I197" s="18">
        <v>37562.5</v>
      </c>
      <c r="J197" s="18">
        <v>2348.67</v>
      </c>
      <c r="K197" s="18">
        <v>9563.82</v>
      </c>
      <c r="L197" s="19">
        <f>SUM(F197:K197)</f>
        <v>1901928.6199999999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367825.74000000005</v>
      </c>
      <c r="G198" s="18">
        <v>288754.91000000003</v>
      </c>
      <c r="H198" s="18">
        <v>492160.97000000003</v>
      </c>
      <c r="I198" s="18">
        <v>807.31</v>
      </c>
      <c r="J198" s="18">
        <v>414.02</v>
      </c>
      <c r="K198" s="18">
        <v>481</v>
      </c>
      <c r="L198" s="19">
        <f>SUM(F198:K198)</f>
        <v>1150443.9500000002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24697.5</v>
      </c>
      <c r="G200" s="18">
        <v>3258.48</v>
      </c>
      <c r="H200" s="18"/>
      <c r="I200" s="18">
        <v>3720.07</v>
      </c>
      <c r="J200" s="18">
        <v>1300</v>
      </c>
      <c r="K200" s="18"/>
      <c r="L200" s="19">
        <f>SUM(F200:K200)</f>
        <v>32976.050000000003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125815</v>
      </c>
      <c r="G202" s="18">
        <v>69771.279999999984</v>
      </c>
      <c r="H202" s="18">
        <v>52400.65</v>
      </c>
      <c r="I202" s="18">
        <v>6163.4299999999994</v>
      </c>
      <c r="J202" s="18">
        <v>13945.1</v>
      </c>
      <c r="K202" s="18">
        <v>129</v>
      </c>
      <c r="L202" s="19">
        <f t="shared" ref="L202:L208" si="0">SUM(F202:K202)</f>
        <v>268224.45999999996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81147.47</v>
      </c>
      <c r="G203" s="18">
        <v>67284.390000000014</v>
      </c>
      <c r="H203" s="18">
        <v>33186.270000000004</v>
      </c>
      <c r="I203" s="18">
        <v>8181.75</v>
      </c>
      <c r="J203" s="18">
        <v>1526.6</v>
      </c>
      <c r="K203" s="18"/>
      <c r="L203" s="19">
        <f t="shared" si="0"/>
        <v>191326.48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166195.59</v>
      </c>
      <c r="G204" s="18">
        <v>30988.959999999999</v>
      </c>
      <c r="H204" s="18">
        <v>46131.700000000004</v>
      </c>
      <c r="I204" s="18">
        <v>1766.8000000000002</v>
      </c>
      <c r="J204" s="18"/>
      <c r="K204" s="18">
        <v>11027.43</v>
      </c>
      <c r="L204" s="19">
        <f t="shared" si="0"/>
        <v>256110.47999999998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171170.2</v>
      </c>
      <c r="G205" s="18">
        <v>153491.84</v>
      </c>
      <c r="H205" s="18">
        <v>14525.020000000002</v>
      </c>
      <c r="I205" s="18">
        <v>1131.94</v>
      </c>
      <c r="J205" s="18">
        <v>240.13</v>
      </c>
      <c r="K205" s="18">
        <v>3011.42</v>
      </c>
      <c r="L205" s="19">
        <f t="shared" si="0"/>
        <v>343570.55000000005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99421.24</v>
      </c>
      <c r="G207" s="18">
        <v>41285.350000000006</v>
      </c>
      <c r="H207" s="18">
        <v>175292.88999999998</v>
      </c>
      <c r="I207" s="18">
        <v>49543.100000000006</v>
      </c>
      <c r="J207" s="18">
        <v>4708.6499999999996</v>
      </c>
      <c r="K207" s="18">
        <v>720</v>
      </c>
      <c r="L207" s="19">
        <f t="shared" si="0"/>
        <v>370971.23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158054.66999999998</v>
      </c>
      <c r="I208" s="18"/>
      <c r="J208" s="18"/>
      <c r="K208" s="18"/>
      <c r="L208" s="19">
        <f t="shared" si="0"/>
        <v>158054.66999999998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2251475.3500000006</v>
      </c>
      <c r="G211" s="41">
        <f t="shared" si="1"/>
        <v>1255458.0400000003</v>
      </c>
      <c r="H211" s="41">
        <f t="shared" si="1"/>
        <v>1008380.3599999999</v>
      </c>
      <c r="I211" s="41">
        <f t="shared" si="1"/>
        <v>108876.90000000001</v>
      </c>
      <c r="J211" s="41">
        <f t="shared" si="1"/>
        <v>24483.17</v>
      </c>
      <c r="K211" s="41">
        <f t="shared" si="1"/>
        <v>24932.67</v>
      </c>
      <c r="L211" s="41">
        <f t="shared" si="1"/>
        <v>4673606.49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1128164.29</v>
      </c>
      <c r="I233" s="18"/>
      <c r="J233" s="18"/>
      <c r="K233" s="18"/>
      <c r="L233" s="19">
        <f>SUM(F233:K233)</f>
        <v>1128164.29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57116.73</v>
      </c>
      <c r="I244" s="18"/>
      <c r="J244" s="18"/>
      <c r="K244" s="18"/>
      <c r="L244" s="19">
        <f t="shared" si="4"/>
        <v>57116.73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1185281.02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1185281.02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2251475.3500000006</v>
      </c>
      <c r="G257" s="41">
        <f t="shared" si="8"/>
        <v>1255458.0400000003</v>
      </c>
      <c r="H257" s="41">
        <f t="shared" si="8"/>
        <v>2193661.38</v>
      </c>
      <c r="I257" s="41">
        <f t="shared" si="8"/>
        <v>108876.90000000001</v>
      </c>
      <c r="J257" s="41">
        <f t="shared" si="8"/>
        <v>24483.17</v>
      </c>
      <c r="K257" s="41">
        <f t="shared" si="8"/>
        <v>24932.67</v>
      </c>
      <c r="L257" s="41">
        <f t="shared" si="8"/>
        <v>5858887.5099999998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85000</v>
      </c>
      <c r="L260" s="19">
        <f>SUM(F260:K260)</f>
        <v>85000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17837.5</v>
      </c>
      <c r="L261" s="19">
        <f>SUM(F261:K261)</f>
        <v>17837.5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27675.47</v>
      </c>
      <c r="L263" s="19">
        <f>SUM(F263:K263)</f>
        <v>27675.47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60000</v>
      </c>
      <c r="L266" s="19">
        <f t="shared" si="9"/>
        <v>60000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190512.97</v>
      </c>
      <c r="L270" s="41">
        <f t="shared" si="9"/>
        <v>190512.97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2251475.3500000006</v>
      </c>
      <c r="G271" s="42">
        <f t="shared" si="11"/>
        <v>1255458.0400000003</v>
      </c>
      <c r="H271" s="42">
        <f t="shared" si="11"/>
        <v>2193661.38</v>
      </c>
      <c r="I271" s="42">
        <f t="shared" si="11"/>
        <v>108876.90000000001</v>
      </c>
      <c r="J271" s="42">
        <f t="shared" si="11"/>
        <v>24483.17</v>
      </c>
      <c r="K271" s="42">
        <f t="shared" si="11"/>
        <v>215445.64</v>
      </c>
      <c r="L271" s="42">
        <f t="shared" si="11"/>
        <v>6049400.4799999995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f>13827.89+18111.28</f>
        <v>31939.17</v>
      </c>
      <c r="G276" s="18">
        <f>1109.64</f>
        <v>1109.6400000000001</v>
      </c>
      <c r="H276" s="18">
        <f>21067.03+597</f>
        <v>21664.03</v>
      </c>
      <c r="I276" s="18">
        <v>4</v>
      </c>
      <c r="J276" s="18">
        <f>2328</f>
        <v>2328</v>
      </c>
      <c r="K276" s="18"/>
      <c r="L276" s="19">
        <f>SUM(F276:K276)</f>
        <v>57044.84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f>14200</f>
        <v>14200</v>
      </c>
      <c r="G277" s="18"/>
      <c r="H277" s="18">
        <f>25000+1650</f>
        <v>26650</v>
      </c>
      <c r="I277" s="18">
        <f>600+2254.29</f>
        <v>2854.29</v>
      </c>
      <c r="J277" s="18"/>
      <c r="K277" s="18"/>
      <c r="L277" s="19">
        <f>SUM(F277:K277)</f>
        <v>43704.29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46139.17</v>
      </c>
      <c r="G290" s="42">
        <f t="shared" si="13"/>
        <v>1109.6400000000001</v>
      </c>
      <c r="H290" s="42">
        <f t="shared" si="13"/>
        <v>48314.03</v>
      </c>
      <c r="I290" s="42">
        <f t="shared" si="13"/>
        <v>2858.29</v>
      </c>
      <c r="J290" s="42">
        <f t="shared" si="13"/>
        <v>2328</v>
      </c>
      <c r="K290" s="42">
        <f t="shared" si="13"/>
        <v>0</v>
      </c>
      <c r="L290" s="41">
        <f t="shared" si="13"/>
        <v>100749.13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46139.17</v>
      </c>
      <c r="G338" s="41">
        <f t="shared" si="20"/>
        <v>1109.6400000000001</v>
      </c>
      <c r="H338" s="41">
        <f t="shared" si="20"/>
        <v>48314.03</v>
      </c>
      <c r="I338" s="41">
        <f t="shared" si="20"/>
        <v>2858.29</v>
      </c>
      <c r="J338" s="41">
        <f t="shared" si="20"/>
        <v>2328</v>
      </c>
      <c r="K338" s="41">
        <f t="shared" si="20"/>
        <v>0</v>
      </c>
      <c r="L338" s="41">
        <f t="shared" si="20"/>
        <v>100749.13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46139.17</v>
      </c>
      <c r="G352" s="41">
        <f>G338</f>
        <v>1109.6400000000001</v>
      </c>
      <c r="H352" s="41">
        <f>H338</f>
        <v>48314.03</v>
      </c>
      <c r="I352" s="41">
        <f>I338</f>
        <v>2858.29</v>
      </c>
      <c r="J352" s="41">
        <f>J338</f>
        <v>2328</v>
      </c>
      <c r="K352" s="47">
        <f>K338+K351</f>
        <v>0</v>
      </c>
      <c r="L352" s="41">
        <f>L338+L351</f>
        <v>100749.13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f>15766.56</f>
        <v>15766.56</v>
      </c>
      <c r="G358" s="18">
        <f>1206.24</f>
        <v>1206.24</v>
      </c>
      <c r="H358" s="18">
        <f>28895.44+7803</f>
        <v>36698.44</v>
      </c>
      <c r="I358" s="18">
        <f>866.55+5398.54</f>
        <v>6265.09</v>
      </c>
      <c r="J358" s="18"/>
      <c r="K358" s="18"/>
      <c r="L358" s="13">
        <f>SUM(F358:K358)</f>
        <v>59936.33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15766.56</v>
      </c>
      <c r="G362" s="47">
        <f t="shared" si="22"/>
        <v>1206.24</v>
      </c>
      <c r="H362" s="47">
        <f t="shared" si="22"/>
        <v>36698.44</v>
      </c>
      <c r="I362" s="47">
        <f t="shared" si="22"/>
        <v>6265.09</v>
      </c>
      <c r="J362" s="47">
        <f t="shared" si="22"/>
        <v>0</v>
      </c>
      <c r="K362" s="47">
        <f t="shared" si="22"/>
        <v>0</v>
      </c>
      <c r="L362" s="47">
        <f t="shared" si="22"/>
        <v>59936.33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f>5398.54</f>
        <v>5398.54</v>
      </c>
      <c r="G367" s="18"/>
      <c r="H367" s="18"/>
      <c r="I367" s="56">
        <f>SUM(F367:H367)</f>
        <v>5398.54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f>866.55</f>
        <v>866.55</v>
      </c>
      <c r="G368" s="63"/>
      <c r="H368" s="63"/>
      <c r="I368" s="56">
        <f>SUM(F368:H368)</f>
        <v>866.55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6265.09</v>
      </c>
      <c r="G369" s="47">
        <f>SUM(G367:G368)</f>
        <v>0</v>
      </c>
      <c r="H369" s="47">
        <f>SUM(H367:H368)</f>
        <v>0</v>
      </c>
      <c r="I369" s="47">
        <f>SUM(I367:I368)</f>
        <v>6265.09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>
        <v>277.3</v>
      </c>
      <c r="I395" s="18"/>
      <c r="J395" s="24" t="s">
        <v>288</v>
      </c>
      <c r="K395" s="24" t="s">
        <v>288</v>
      </c>
      <c r="L395" s="56">
        <f t="shared" ref="L395:L400" si="26">SUM(F395:K395)</f>
        <v>277.3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25000</v>
      </c>
      <c r="H396" s="18">
        <v>111.03</v>
      </c>
      <c r="I396" s="18"/>
      <c r="J396" s="24" t="s">
        <v>288</v>
      </c>
      <c r="K396" s="24" t="s">
        <v>288</v>
      </c>
      <c r="L396" s="56">
        <f t="shared" si="26"/>
        <v>25111.03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>
        <v>35000</v>
      </c>
      <c r="H397" s="18">
        <v>633.54999999999995</v>
      </c>
      <c r="I397" s="18"/>
      <c r="J397" s="24" t="s">
        <v>288</v>
      </c>
      <c r="K397" s="24" t="s">
        <v>288</v>
      </c>
      <c r="L397" s="56">
        <f t="shared" si="26"/>
        <v>35633.550000000003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60000</v>
      </c>
      <c r="H401" s="47">
        <f>SUM(H395:H400)</f>
        <v>1021.88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61021.880000000005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60000</v>
      </c>
      <c r="H408" s="47">
        <f>H393+H401+H407</f>
        <v>1021.88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61021.880000000005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>
        <v>37732.980000000003</v>
      </c>
      <c r="L423" s="56">
        <f t="shared" si="29"/>
        <v>37732.980000000003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37732.980000000003</v>
      </c>
      <c r="L427" s="47">
        <f t="shared" si="30"/>
        <v>37732.980000000003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37732.980000000003</v>
      </c>
      <c r="L434" s="47">
        <f t="shared" si="32"/>
        <v>37732.980000000003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>
        <v>66276.33</v>
      </c>
      <c r="G439" s="18">
        <f>228093.86+50421.48</f>
        <v>278515.33999999997</v>
      </c>
      <c r="H439" s="18"/>
      <c r="I439" s="56">
        <f t="shared" ref="I439:I445" si="33">SUM(F439:H439)</f>
        <v>344791.67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66276.33</v>
      </c>
      <c r="G446" s="13">
        <f>SUM(G439:G445)</f>
        <v>278515.33999999997</v>
      </c>
      <c r="H446" s="13">
        <f>SUM(H439:H445)</f>
        <v>0</v>
      </c>
      <c r="I446" s="13">
        <f>SUM(I439:I445)</f>
        <v>344791.67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>
        <v>37732.980000000003</v>
      </c>
      <c r="H449" s="18"/>
      <c r="I449" s="56">
        <f>SUM(F449:H449)</f>
        <v>37732.980000000003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37732.980000000003</v>
      </c>
      <c r="H452" s="72">
        <f>SUM(H448:H451)</f>
        <v>0</v>
      </c>
      <c r="I452" s="72">
        <f>SUM(I448:I451)</f>
        <v>37732.980000000003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66276.33</v>
      </c>
      <c r="G459" s="18">
        <f>228093.86+50421.48-G452</f>
        <v>240782.35999999996</v>
      </c>
      <c r="H459" s="18"/>
      <c r="I459" s="56">
        <f t="shared" si="34"/>
        <v>307058.68999999994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66276.33</v>
      </c>
      <c r="G460" s="83">
        <f>SUM(G454:G459)</f>
        <v>240782.35999999996</v>
      </c>
      <c r="H460" s="83">
        <f>SUM(H454:H459)</f>
        <v>0</v>
      </c>
      <c r="I460" s="83">
        <f>SUM(I454:I459)</f>
        <v>307058.68999999994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66276.33</v>
      </c>
      <c r="G461" s="42">
        <f>G452+G460</f>
        <v>278515.33999999997</v>
      </c>
      <c r="H461" s="42">
        <f>H452+H460</f>
        <v>0</v>
      </c>
      <c r="I461" s="42">
        <f>I452+I460</f>
        <v>344791.66999999993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23568.87</v>
      </c>
      <c r="G465" s="18">
        <v>2346.75</v>
      </c>
      <c r="H465" s="18">
        <v>231.64</v>
      </c>
      <c r="I465" s="18"/>
      <c r="J465" s="18">
        <v>298186.13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f>F193</f>
        <v>6196669.4400000004</v>
      </c>
      <c r="G468" s="18">
        <f>G193</f>
        <v>58885.94</v>
      </c>
      <c r="H468" s="18">
        <f>H193</f>
        <v>127212.1</v>
      </c>
      <c r="I468" s="18"/>
      <c r="J468" s="18">
        <f>L408</f>
        <v>61021.880000000005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6196669.4400000004</v>
      </c>
      <c r="G470" s="53">
        <f>SUM(G468:G469)</f>
        <v>58885.94</v>
      </c>
      <c r="H470" s="53">
        <f>SUM(H468:H469)</f>
        <v>127212.1</v>
      </c>
      <c r="I470" s="53">
        <f>SUM(I468:I469)</f>
        <v>0</v>
      </c>
      <c r="J470" s="53">
        <f>SUM(J468:J469)</f>
        <v>61021.880000000005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L271</f>
        <v>6049400.4799999995</v>
      </c>
      <c r="G472" s="18">
        <f>L362</f>
        <v>59936.33</v>
      </c>
      <c r="H472" s="18">
        <f>L290</f>
        <v>100749.13</v>
      </c>
      <c r="I472" s="18"/>
      <c r="J472" s="18">
        <f>L434</f>
        <v>37732.980000000003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>
        <v>231.64</v>
      </c>
      <c r="I473" s="18"/>
      <c r="J473" s="18">
        <v>14416.34</v>
      </c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6049400.4799999995</v>
      </c>
      <c r="G474" s="53">
        <f>SUM(G472:G473)</f>
        <v>59936.33</v>
      </c>
      <c r="H474" s="53">
        <f>SUM(H472:H473)</f>
        <v>100980.77</v>
      </c>
      <c r="I474" s="53">
        <f>SUM(I472:I473)</f>
        <v>0</v>
      </c>
      <c r="J474" s="53">
        <f>SUM(J472:J473)</f>
        <v>52149.320000000007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170837.83000000101</v>
      </c>
      <c r="G476" s="53">
        <f>(G465+G470)- G474</f>
        <v>1296.3600000000006</v>
      </c>
      <c r="H476" s="53">
        <f>(H465+H470)- H474</f>
        <v>26462.97</v>
      </c>
      <c r="I476" s="53">
        <f>(I465+I470)- I474</f>
        <v>0</v>
      </c>
      <c r="J476" s="53">
        <f>(J465+J470)- J474</f>
        <v>307058.69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917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276">
        <v>10</v>
      </c>
      <c r="G490" s="276">
        <v>10</v>
      </c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913</v>
      </c>
      <c r="G491" s="155" t="s">
        <v>914</v>
      </c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915</v>
      </c>
      <c r="G492" s="155" t="s">
        <v>916</v>
      </c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314800</v>
      </c>
      <c r="G493" s="18">
        <v>543500</v>
      </c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3</v>
      </c>
      <c r="G494" s="18">
        <v>2.33</v>
      </c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204">
        <v>150000</v>
      </c>
      <c r="G495" s="204">
        <v>375000</v>
      </c>
      <c r="H495" s="18"/>
      <c r="I495" s="18"/>
      <c r="J495" s="18"/>
      <c r="K495" s="53">
        <f>SUM(F495:J495)</f>
        <v>525000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30000</v>
      </c>
      <c r="G497" s="18">
        <v>55000</v>
      </c>
      <c r="H497" s="18"/>
      <c r="I497" s="18"/>
      <c r="J497" s="18"/>
      <c r="K497" s="53">
        <f t="shared" si="35"/>
        <v>85000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f>F495-F497</f>
        <v>120000</v>
      </c>
      <c r="G498" s="204">
        <f>G495-G497</f>
        <v>320000</v>
      </c>
      <c r="H498" s="204"/>
      <c r="I498" s="204"/>
      <c r="J498" s="204"/>
      <c r="K498" s="205">
        <f t="shared" si="35"/>
        <v>440000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f>4800+3600+2400+1200</f>
        <v>12000</v>
      </c>
      <c r="G499" s="18">
        <f>5506.25+4956.25+4956.25+3856.25+3856.25+3100+3100+4000+2000</f>
        <v>35331.25</v>
      </c>
      <c r="H499" s="18"/>
      <c r="I499" s="18"/>
      <c r="J499" s="18"/>
      <c r="K499" s="53">
        <f t="shared" si="35"/>
        <v>47331.25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132000</v>
      </c>
      <c r="G500" s="42">
        <f>SUM(G498:G499)</f>
        <v>355331.25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487331.25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f>30000</f>
        <v>30000</v>
      </c>
      <c r="G501" s="204">
        <v>55000</v>
      </c>
      <c r="H501" s="204"/>
      <c r="I501" s="204"/>
      <c r="J501" s="204"/>
      <c r="K501" s="205">
        <f t="shared" si="35"/>
        <v>85000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f>4800</f>
        <v>4800</v>
      </c>
      <c r="G502" s="18">
        <f>5506.25+4956.25</f>
        <v>10462.5</v>
      </c>
      <c r="H502" s="18"/>
      <c r="I502" s="18"/>
      <c r="J502" s="18"/>
      <c r="K502" s="53">
        <f t="shared" si="35"/>
        <v>15262.5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34800</v>
      </c>
      <c r="G503" s="42">
        <f>SUM(G501:G502)</f>
        <v>65462.5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100262.5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135801+215932.92+2212.09+13879.73</f>
        <v>367825.74000000005</v>
      </c>
      <c r="G521" s="18">
        <f>222484.17+12276.33+27070.67+21279.96+5643.78</f>
        <v>288754.91000000003</v>
      </c>
      <c r="H521" s="18">
        <f>5315.31+5400+39333.75+1557.5+63219.04+475+750+8430-109985.29-30729.58+800+320533.83+2324.25+766.05+31657.2+18500+23586.12</f>
        <v>381933.18000000005</v>
      </c>
      <c r="I521" s="18">
        <f>807.31</f>
        <v>807.31</v>
      </c>
      <c r="J521" s="18">
        <f>414.02</f>
        <v>414.02</v>
      </c>
      <c r="K521" s="18">
        <v>481</v>
      </c>
      <c r="L521" s="88">
        <f>SUM(F521:K521)</f>
        <v>1040216.1600000003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367825.74000000005</v>
      </c>
      <c r="G524" s="108">
        <f t="shared" ref="G524:L524" si="36">SUM(G521:G523)</f>
        <v>288754.91000000003</v>
      </c>
      <c r="H524" s="108">
        <f t="shared" si="36"/>
        <v>381933.18000000005</v>
      </c>
      <c r="I524" s="108">
        <f t="shared" si="36"/>
        <v>807.31</v>
      </c>
      <c r="J524" s="108">
        <f t="shared" si="36"/>
        <v>414.02</v>
      </c>
      <c r="K524" s="108">
        <f t="shared" si="36"/>
        <v>481</v>
      </c>
      <c r="L524" s="89">
        <f t="shared" si="36"/>
        <v>1040216.1600000003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>
        <f>5400+39333.75+1557.5+63219.04+475</f>
        <v>109985.29000000001</v>
      </c>
      <c r="I526" s="18"/>
      <c r="J526" s="18"/>
      <c r="K526" s="18"/>
      <c r="L526" s="88">
        <f>SUM(F526:K526)</f>
        <v>109985.29000000001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109985.29000000001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109985.29000000001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22026</v>
      </c>
      <c r="G531" s="18">
        <v>1684.99</v>
      </c>
      <c r="H531" s="18"/>
      <c r="I531" s="18"/>
      <c r="J531" s="18"/>
      <c r="K531" s="18"/>
      <c r="L531" s="88">
        <f>SUM(F531:K531)</f>
        <v>23710.99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22026</v>
      </c>
      <c r="G534" s="89">
        <f t="shared" ref="G534:L534" si="38">SUM(G531:G533)</f>
        <v>1684.99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23710.99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242.5</v>
      </c>
      <c r="I536" s="18"/>
      <c r="J536" s="18"/>
      <c r="K536" s="18"/>
      <c r="L536" s="88">
        <f>SUM(F536:K536)</f>
        <v>242.5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242.5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242.5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33661.800000000003</v>
      </c>
      <c r="I541" s="18"/>
      <c r="J541" s="18"/>
      <c r="K541" s="18"/>
      <c r="L541" s="88">
        <f>SUM(F541:K541)</f>
        <v>33661.800000000003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33661.800000000003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33661.800000000003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389851.74000000005</v>
      </c>
      <c r="G545" s="89">
        <f t="shared" ref="G545:L545" si="41">G524+G529+G534+G539+G544</f>
        <v>290439.90000000002</v>
      </c>
      <c r="H545" s="89">
        <f t="shared" si="41"/>
        <v>525822.77000000014</v>
      </c>
      <c r="I545" s="89">
        <f t="shared" si="41"/>
        <v>807.31</v>
      </c>
      <c r="J545" s="89">
        <f t="shared" si="41"/>
        <v>414.02</v>
      </c>
      <c r="K545" s="89">
        <f t="shared" si="41"/>
        <v>481</v>
      </c>
      <c r="L545" s="89">
        <f t="shared" si="41"/>
        <v>1207816.7400000002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1040216.1600000003</v>
      </c>
      <c r="G549" s="87">
        <f>L526</f>
        <v>109985.29000000001</v>
      </c>
      <c r="H549" s="87">
        <f>L531</f>
        <v>23710.99</v>
      </c>
      <c r="I549" s="87">
        <f>L536</f>
        <v>242.5</v>
      </c>
      <c r="J549" s="87">
        <f>L541</f>
        <v>33661.800000000003</v>
      </c>
      <c r="K549" s="87">
        <f>SUM(F549:J549)</f>
        <v>1207816.7400000002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1040216.1600000003</v>
      </c>
      <c r="G552" s="89">
        <f t="shared" si="42"/>
        <v>109985.29000000001</v>
      </c>
      <c r="H552" s="89">
        <f t="shared" si="42"/>
        <v>23710.99</v>
      </c>
      <c r="I552" s="89">
        <f t="shared" si="42"/>
        <v>242.5</v>
      </c>
      <c r="J552" s="89">
        <f t="shared" si="42"/>
        <v>33661.800000000003</v>
      </c>
      <c r="K552" s="89">
        <f t="shared" si="42"/>
        <v>1207816.7400000002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>
        <f>1128164.29</f>
        <v>1128164.29</v>
      </c>
      <c r="I575" s="87">
        <f>SUM(F575:H575)</f>
        <v>1128164.29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>
        <f>17490</f>
        <v>17490</v>
      </c>
      <c r="G576" s="18"/>
      <c r="H576" s="18"/>
      <c r="I576" s="87">
        <f t="shared" ref="I576:I587" si="47">SUM(F576:H576)</f>
        <v>17490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>
        <v>5400</v>
      </c>
      <c r="G578" s="18"/>
      <c r="H578" s="18"/>
      <c r="I578" s="87">
        <f t="shared" si="47"/>
        <v>5400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>
        <f>-30729.58+31657.2</f>
        <v>927.61999999999898</v>
      </c>
      <c r="G580" s="18"/>
      <c r="H580" s="18"/>
      <c r="I580" s="87">
        <f t="shared" si="47"/>
        <v>927.61999999999898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19300</v>
      </c>
      <c r="G582" s="18"/>
      <c r="H582" s="18"/>
      <c r="I582" s="87">
        <f t="shared" si="47"/>
        <v>19300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>
        <f>23586.12+320533.83</f>
        <v>344119.95</v>
      </c>
      <c r="G583" s="18"/>
      <c r="H583" s="18"/>
      <c r="I583" s="87">
        <f t="shared" si="47"/>
        <v>344119.95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f>173081-J591</f>
        <v>115964.26999999999</v>
      </c>
      <c r="I591" s="18"/>
      <c r="J591" s="18">
        <f>173081*0.33</f>
        <v>57116.73</v>
      </c>
      <c r="K591" s="104">
        <f t="shared" ref="K591:K597" si="48">SUM(H591:J591)</f>
        <v>173081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f>33661.8</f>
        <v>33661.800000000003</v>
      </c>
      <c r="I592" s="18"/>
      <c r="J592" s="18"/>
      <c r="K592" s="104">
        <f t="shared" si="48"/>
        <v>33661.800000000003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f>1866.95</f>
        <v>1866.95</v>
      </c>
      <c r="I594" s="18"/>
      <c r="J594" s="18"/>
      <c r="K594" s="104">
        <f t="shared" si="48"/>
        <v>1866.95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f>6561.65</f>
        <v>6561.65</v>
      </c>
      <c r="I595" s="18"/>
      <c r="J595" s="18"/>
      <c r="K595" s="104">
        <f t="shared" si="48"/>
        <v>6561.65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158054.67000000001</v>
      </c>
      <c r="I598" s="108">
        <f>SUM(I591:I597)</f>
        <v>0</v>
      </c>
      <c r="J598" s="108">
        <f>SUM(J591:J597)</f>
        <v>57116.73</v>
      </c>
      <c r="K598" s="108">
        <f>SUM(K591:K597)</f>
        <v>215171.4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f>J271+J352</f>
        <v>26811.17</v>
      </c>
      <c r="I604" s="18"/>
      <c r="J604" s="18"/>
      <c r="K604" s="104">
        <f>SUM(H604:J604)</f>
        <v>26811.17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26811.17</v>
      </c>
      <c r="I605" s="108">
        <f>SUM(I602:I604)</f>
        <v>0</v>
      </c>
      <c r="J605" s="108">
        <f>SUM(J602:J604)</f>
        <v>0</v>
      </c>
      <c r="K605" s="108">
        <f>SUM(K602:K604)</f>
        <v>26811.17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298268.93</v>
      </c>
      <c r="H617" s="109">
        <f>SUM(F52)</f>
        <v>298268.93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2346.75</v>
      </c>
      <c r="H618" s="109">
        <f>SUM(G52)</f>
        <v>2346.75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48709.83</v>
      </c>
      <c r="H619" s="109">
        <f>SUM(H52)</f>
        <v>48709.83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344791.67</v>
      </c>
      <c r="H621" s="109">
        <f>SUM(J52)</f>
        <v>344791.66999999993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170837.83000000002</v>
      </c>
      <c r="H622" s="109">
        <f>F476</f>
        <v>170837.83000000101</v>
      </c>
      <c r="I622" s="121" t="s">
        <v>101</v>
      </c>
      <c r="J622" s="109">
        <f t="shared" ref="J622:J655" si="50">G622-H622</f>
        <v>-9.8953023552894592E-10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1296.3599999999999</v>
      </c>
      <c r="H623" s="109">
        <f>G476</f>
        <v>1296.3600000000006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26462.97</v>
      </c>
      <c r="H624" s="109">
        <f>H476</f>
        <v>26462.97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307058.68999999994</v>
      </c>
      <c r="H626" s="109">
        <f>J476</f>
        <v>307058.69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6196669.4400000004</v>
      </c>
      <c r="H627" s="104">
        <f>SUM(F468)</f>
        <v>6196669.4400000004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58885.94</v>
      </c>
      <c r="H628" s="104">
        <f>SUM(G468)</f>
        <v>58885.94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127212.1</v>
      </c>
      <c r="H629" s="104">
        <f>SUM(H468)</f>
        <v>127212.1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61021.88</v>
      </c>
      <c r="H631" s="104">
        <f>SUM(J468)</f>
        <v>61021.880000000005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6049400.4799999995</v>
      </c>
      <c r="H632" s="104">
        <f>SUM(F472)</f>
        <v>6049400.4799999995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100749.13</v>
      </c>
      <c r="H633" s="104">
        <f>SUM(H472)</f>
        <v>100749.13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6265.09</v>
      </c>
      <c r="H634" s="104">
        <f>I369</f>
        <v>6265.09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59936.33</v>
      </c>
      <c r="H635" s="104">
        <f>SUM(G472)</f>
        <v>59936.33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61021.880000000005</v>
      </c>
      <c r="H637" s="164">
        <f>SUM(J468)</f>
        <v>61021.880000000005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37732.980000000003</v>
      </c>
      <c r="H638" s="164">
        <f>SUM(J472)</f>
        <v>37732.980000000003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66276.33</v>
      </c>
      <c r="H639" s="104">
        <f>SUM(F461)</f>
        <v>66276.33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278515.33999999997</v>
      </c>
      <c r="H640" s="104">
        <f>SUM(G461)</f>
        <v>278515.33999999997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344791.67</v>
      </c>
      <c r="H642" s="104">
        <f>SUM(I461)</f>
        <v>344791.66999999993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1021.8799999999999</v>
      </c>
      <c r="H644" s="104">
        <f>H408</f>
        <v>1021.88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60000</v>
      </c>
      <c r="H645" s="104">
        <f>G408</f>
        <v>60000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61021.88</v>
      </c>
      <c r="H646" s="104">
        <f>L408</f>
        <v>61021.880000000005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215171.4</v>
      </c>
      <c r="H647" s="104">
        <f>L208+L226+L244</f>
        <v>215171.4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26811.17</v>
      </c>
      <c r="H648" s="104">
        <f>(J257+J338)-(J255+J336)</f>
        <v>26811.17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158054.66999999998</v>
      </c>
      <c r="H649" s="104">
        <f>H598</f>
        <v>158054.67000000001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57116.73</v>
      </c>
      <c r="H651" s="104">
        <f>J598</f>
        <v>57116.73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27675.47</v>
      </c>
      <c r="H652" s="104">
        <f>K263+K345</f>
        <v>27675.47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60000</v>
      </c>
      <c r="H655" s="104">
        <f>K266+K347</f>
        <v>60000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4834291.95</v>
      </c>
      <c r="G660" s="19">
        <f>(L229+L309+L359)</f>
        <v>0</v>
      </c>
      <c r="H660" s="19">
        <f>(L247+L328+L360)</f>
        <v>1185281.02</v>
      </c>
      <c r="I660" s="19">
        <f>SUM(F660:H660)</f>
        <v>6019572.9700000007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21580.39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21580.39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158054.66999999998</v>
      </c>
      <c r="G662" s="19">
        <f>(L226+L306)-(J226+J306)</f>
        <v>0</v>
      </c>
      <c r="H662" s="19">
        <f>(L244+L325)-(J244+J325)</f>
        <v>57116.73</v>
      </c>
      <c r="I662" s="19">
        <f>SUM(F662:H662)</f>
        <v>215171.4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414048.74</v>
      </c>
      <c r="G663" s="199">
        <f>SUM(G575:G587)+SUM(I602:I604)+L612</f>
        <v>0</v>
      </c>
      <c r="H663" s="199">
        <f>SUM(H575:H587)+SUM(J602:J604)+L613</f>
        <v>1128164.29</v>
      </c>
      <c r="I663" s="19">
        <f>SUM(F663:H663)</f>
        <v>1542213.03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4240608.1500000004</v>
      </c>
      <c r="G664" s="19">
        <f>G660-SUM(G661:G663)</f>
        <v>0</v>
      </c>
      <c r="H664" s="19">
        <f>H660-SUM(H661:H663)</f>
        <v>0</v>
      </c>
      <c r="I664" s="19">
        <f>I660-SUM(I661:I663)</f>
        <v>4240608.1500000004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197.25</v>
      </c>
      <c r="G665" s="248"/>
      <c r="H665" s="248"/>
      <c r="I665" s="19">
        <f>SUM(F665:H665)</f>
        <v>197.25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21498.65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21498.65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21498.65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21498.65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3" workbookViewId="0">
      <selection activeCell="C19" sqref="C19: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Plainfield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80" t="s">
        <v>783</v>
      </c>
      <c r="B3" s="280"/>
      <c r="C3" s="280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9" t="s">
        <v>782</v>
      </c>
      <c r="C6" s="279"/>
    </row>
    <row r="7" spans="1:3" x14ac:dyDescent="0.2">
      <c r="A7" s="239" t="s">
        <v>785</v>
      </c>
      <c r="B7" s="277" t="s">
        <v>781</v>
      </c>
      <c r="C7" s="278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1247141.78</v>
      </c>
      <c r="C9" s="229">
        <f>'DOE25'!G197+'DOE25'!G215+'DOE25'!G233+'DOE25'!G276+'DOE25'!G295+'DOE25'!G314</f>
        <v>601732.47</v>
      </c>
    </row>
    <row r="10" spans="1:3" x14ac:dyDescent="0.2">
      <c r="A10" t="s">
        <v>778</v>
      </c>
      <c r="B10" s="240">
        <f>1172026.56+13827.89</f>
        <v>1185854.45</v>
      </c>
      <c r="C10" s="275">
        <v>572161.99369007698</v>
      </c>
    </row>
    <row r="11" spans="1:3" x14ac:dyDescent="0.2">
      <c r="A11" t="s">
        <v>779</v>
      </c>
      <c r="B11" s="240">
        <f>22532.76+18111.28</f>
        <v>40644.039999999994</v>
      </c>
      <c r="C11" s="275">
        <v>19610.311331225545</v>
      </c>
    </row>
    <row r="12" spans="1:3" x14ac:dyDescent="0.2">
      <c r="A12" t="s">
        <v>780</v>
      </c>
      <c r="B12" s="240">
        <v>20643.29</v>
      </c>
      <c r="C12" s="275">
        <v>9960.1649786974449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1247141.78</v>
      </c>
      <c r="C13" s="231">
        <f>SUM(C10:C12)</f>
        <v>601732.47</v>
      </c>
    </row>
    <row r="14" spans="1:3" x14ac:dyDescent="0.2">
      <c r="B14" s="230"/>
      <c r="C14" s="230"/>
    </row>
    <row r="15" spans="1:3" x14ac:dyDescent="0.2">
      <c r="B15" s="279" t="s">
        <v>782</v>
      </c>
      <c r="C15" s="279"/>
    </row>
    <row r="16" spans="1:3" x14ac:dyDescent="0.2">
      <c r="A16" s="239" t="s">
        <v>786</v>
      </c>
      <c r="B16" s="277" t="s">
        <v>706</v>
      </c>
      <c r="C16" s="278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382025.74000000005</v>
      </c>
      <c r="C18" s="229">
        <f>'DOE25'!G198+'DOE25'!G216+'DOE25'!G234+'DOE25'!G277+'DOE25'!G296+'DOE25'!G315</f>
        <v>288754.91000000003</v>
      </c>
    </row>
    <row r="19" spans="1:3" x14ac:dyDescent="0.2">
      <c r="A19" t="s">
        <v>778</v>
      </c>
      <c r="B19" s="240">
        <f>135801+2212.09</f>
        <v>138013.09</v>
      </c>
      <c r="C19" s="240">
        <v>104317.4666235105</v>
      </c>
    </row>
    <row r="20" spans="1:3" x14ac:dyDescent="0.2">
      <c r="A20" t="s">
        <v>779</v>
      </c>
      <c r="B20" s="240">
        <f>215932.92+14200</f>
        <v>230132.92</v>
      </c>
      <c r="C20" s="240">
        <v>173946.42204642337</v>
      </c>
    </row>
    <row r="21" spans="1:3" x14ac:dyDescent="0.2">
      <c r="A21" t="s">
        <v>780</v>
      </c>
      <c r="B21" s="240">
        <v>13879.73</v>
      </c>
      <c r="C21" s="240">
        <v>10491.021330066113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382025.74</v>
      </c>
      <c r="C22" s="231">
        <f>SUM(C19:C21)</f>
        <v>288754.91000000003</v>
      </c>
    </row>
    <row r="23" spans="1:3" x14ac:dyDescent="0.2">
      <c r="B23" s="230"/>
      <c r="C23" s="230"/>
    </row>
    <row r="24" spans="1:3" x14ac:dyDescent="0.2">
      <c r="B24" s="279" t="s">
        <v>782</v>
      </c>
      <c r="C24" s="279"/>
    </row>
    <row r="25" spans="1:3" x14ac:dyDescent="0.2">
      <c r="A25" s="239" t="s">
        <v>787</v>
      </c>
      <c r="B25" s="277" t="s">
        <v>707</v>
      </c>
      <c r="C25" s="278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9" t="s">
        <v>782</v>
      </c>
      <c r="C33" s="279"/>
    </row>
    <row r="34" spans="1:3" x14ac:dyDescent="0.2">
      <c r="A34" s="239" t="s">
        <v>788</v>
      </c>
      <c r="B34" s="277" t="s">
        <v>708</v>
      </c>
      <c r="C34" s="278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24697.5</v>
      </c>
      <c r="C36" s="235">
        <f>'DOE25'!G200+'DOE25'!G218+'DOE25'!G236+'DOE25'!G279+'DOE25'!G298+'DOE25'!G317</f>
        <v>3258.48</v>
      </c>
    </row>
    <row r="37" spans="1:3" x14ac:dyDescent="0.2">
      <c r="A37" t="s">
        <v>778</v>
      </c>
      <c r="B37" s="240">
        <v>14882.5</v>
      </c>
      <c r="C37" s="240">
        <v>1963.5318797449133</v>
      </c>
    </row>
    <row r="38" spans="1:3" x14ac:dyDescent="0.2">
      <c r="A38" t="s">
        <v>779</v>
      </c>
      <c r="B38" s="240"/>
      <c r="C38" s="240">
        <v>0</v>
      </c>
    </row>
    <row r="39" spans="1:3" x14ac:dyDescent="0.2">
      <c r="A39" t="s">
        <v>780</v>
      </c>
      <c r="B39" s="240">
        <f>5890+3925</f>
        <v>9815</v>
      </c>
      <c r="C39" s="240">
        <v>1294.9481202550867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24697.5</v>
      </c>
      <c r="C40" s="231">
        <f>SUM(C37:C39)</f>
        <v>3258.48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9" t="s">
        <v>789</v>
      </c>
      <c r="B1" s="284"/>
      <c r="C1" s="284"/>
      <c r="D1" s="284"/>
      <c r="E1" s="284"/>
      <c r="F1" s="284"/>
      <c r="G1" s="284"/>
      <c r="H1" s="284"/>
      <c r="I1" s="181"/>
    </row>
    <row r="2" spans="1:9" x14ac:dyDescent="0.2">
      <c r="A2" s="33" t="s">
        <v>716</v>
      </c>
      <c r="B2" s="265" t="str">
        <f>'DOE25'!A2</f>
        <v>Plainfield School District</v>
      </c>
      <c r="C2" s="181"/>
      <c r="D2" s="181" t="s">
        <v>791</v>
      </c>
      <c r="E2" s="181" t="s">
        <v>793</v>
      </c>
      <c r="F2" s="281" t="s">
        <v>820</v>
      </c>
      <c r="G2" s="282"/>
      <c r="H2" s="283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4213512.91</v>
      </c>
      <c r="D5" s="20">
        <f>SUM('DOE25'!L197:L200)+SUM('DOE25'!L215:L218)+SUM('DOE25'!L233:L236)-F5-G5</f>
        <v>4199405.3999999994</v>
      </c>
      <c r="E5" s="243"/>
      <c r="F5" s="255">
        <f>SUM('DOE25'!J197:J200)+SUM('DOE25'!J215:J218)+SUM('DOE25'!J233:J236)</f>
        <v>4062.69</v>
      </c>
      <c r="G5" s="53">
        <f>SUM('DOE25'!K197:K200)+SUM('DOE25'!K215:K218)+SUM('DOE25'!K233:K236)</f>
        <v>10044.82</v>
      </c>
      <c r="H5" s="259"/>
    </row>
    <row r="6" spans="1:9" x14ac:dyDescent="0.2">
      <c r="A6" s="32">
        <v>2100</v>
      </c>
      <c r="B6" t="s">
        <v>800</v>
      </c>
      <c r="C6" s="245">
        <f t="shared" si="0"/>
        <v>268224.45999999996</v>
      </c>
      <c r="D6" s="20">
        <f>'DOE25'!L202+'DOE25'!L220+'DOE25'!L238-F6-G6</f>
        <v>254150.35999999996</v>
      </c>
      <c r="E6" s="243"/>
      <c r="F6" s="255">
        <f>'DOE25'!J202+'DOE25'!J220+'DOE25'!J238</f>
        <v>13945.1</v>
      </c>
      <c r="G6" s="53">
        <f>'DOE25'!K202+'DOE25'!K220+'DOE25'!K238</f>
        <v>129</v>
      </c>
      <c r="H6" s="259"/>
    </row>
    <row r="7" spans="1:9" x14ac:dyDescent="0.2">
      <c r="A7" s="32">
        <v>2200</v>
      </c>
      <c r="B7" t="s">
        <v>833</v>
      </c>
      <c r="C7" s="245">
        <f t="shared" si="0"/>
        <v>191326.48</v>
      </c>
      <c r="D7" s="20">
        <f>'DOE25'!L203+'DOE25'!L221+'DOE25'!L239-F7-G7</f>
        <v>189799.88</v>
      </c>
      <c r="E7" s="243"/>
      <c r="F7" s="255">
        <f>'DOE25'!J203+'DOE25'!J221+'DOE25'!J239</f>
        <v>1526.6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112189.25999999998</v>
      </c>
      <c r="D8" s="243"/>
      <c r="E8" s="20">
        <f>'DOE25'!L204+'DOE25'!L222+'DOE25'!L240-F8-G8-D9-D11</f>
        <v>101161.82999999999</v>
      </c>
      <c r="F8" s="255">
        <f>'DOE25'!J204+'DOE25'!J222+'DOE25'!J240</f>
        <v>0</v>
      </c>
      <c r="G8" s="53">
        <f>'DOE25'!K204+'DOE25'!K222+'DOE25'!K240</f>
        <v>11027.43</v>
      </c>
      <c r="H8" s="259"/>
    </row>
    <row r="9" spans="1:9" x14ac:dyDescent="0.2">
      <c r="A9" s="32">
        <v>2310</v>
      </c>
      <c r="B9" t="s">
        <v>817</v>
      </c>
      <c r="C9" s="245">
        <f t="shared" si="0"/>
        <v>32579.119999999999</v>
      </c>
      <c r="D9" s="244">
        <f>1550+500+100+3191.5+20689.64+856.05+69.55+772.83+3758.92+1090.63</f>
        <v>32579.119999999999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9250</v>
      </c>
      <c r="D10" s="243"/>
      <c r="E10" s="244">
        <v>9250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111342.1</v>
      </c>
      <c r="D11" s="244">
        <f>71585+5476.25+19445.29+1487.56+1200+2896+2080+994+6178</f>
        <v>111342.1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343570.55000000005</v>
      </c>
      <c r="D12" s="20">
        <f>'DOE25'!L205+'DOE25'!L223+'DOE25'!L241-F12-G12</f>
        <v>340319.00000000006</v>
      </c>
      <c r="E12" s="243"/>
      <c r="F12" s="255">
        <f>'DOE25'!J205+'DOE25'!J223+'DOE25'!J241</f>
        <v>240.13</v>
      </c>
      <c r="G12" s="53">
        <f>'DOE25'!K205+'DOE25'!K223+'DOE25'!K241</f>
        <v>3011.42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370971.23</v>
      </c>
      <c r="D14" s="20">
        <f>'DOE25'!L207+'DOE25'!L225+'DOE25'!L243-F14-G14</f>
        <v>365542.57999999996</v>
      </c>
      <c r="E14" s="243"/>
      <c r="F14" s="255">
        <f>'DOE25'!J207+'DOE25'!J225+'DOE25'!J243</f>
        <v>4708.6499999999996</v>
      </c>
      <c r="G14" s="53">
        <f>'DOE25'!K207+'DOE25'!K225+'DOE25'!K243</f>
        <v>720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215171.4</v>
      </c>
      <c r="D15" s="20">
        <f>'DOE25'!L208+'DOE25'!L226+'DOE25'!L244-F15-G15</f>
        <v>215171.4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102837.5</v>
      </c>
      <c r="D25" s="243"/>
      <c r="E25" s="243"/>
      <c r="F25" s="258"/>
      <c r="G25" s="256"/>
      <c r="H25" s="257">
        <f>'DOE25'!L260+'DOE25'!L261+'DOE25'!L341+'DOE25'!L342</f>
        <v>102837.5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54537.79</v>
      </c>
      <c r="D29" s="20">
        <f>'DOE25'!L358+'DOE25'!L359+'DOE25'!L360-'DOE25'!I367-F29-G29</f>
        <v>54537.79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100749.13</v>
      </c>
      <c r="D31" s="20">
        <f>'DOE25'!L290+'DOE25'!L309+'DOE25'!L328+'DOE25'!L333+'DOE25'!L334+'DOE25'!L335-F31-G31</f>
        <v>98421.13</v>
      </c>
      <c r="E31" s="243"/>
      <c r="F31" s="255">
        <f>'DOE25'!J290+'DOE25'!J309+'DOE25'!J328+'DOE25'!J333+'DOE25'!J334+'DOE25'!J335</f>
        <v>2328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5861268.7599999998</v>
      </c>
      <c r="E33" s="246">
        <f>SUM(E5:E31)</f>
        <v>110411.82999999999</v>
      </c>
      <c r="F33" s="246">
        <f>SUM(F5:F31)</f>
        <v>26811.17</v>
      </c>
      <c r="G33" s="246">
        <f>SUM(G5:G31)</f>
        <v>24932.67</v>
      </c>
      <c r="H33" s="246">
        <f>SUM(H5:H31)</f>
        <v>102837.5</v>
      </c>
    </row>
    <row r="35" spans="2:8" ht="12" thickBot="1" x14ac:dyDescent="0.25">
      <c r="B35" s="253" t="s">
        <v>846</v>
      </c>
      <c r="D35" s="254">
        <f>E33</f>
        <v>110411.82999999999</v>
      </c>
      <c r="E35" s="249"/>
    </row>
    <row r="36" spans="2:8" ht="12" thickTop="1" x14ac:dyDescent="0.2">
      <c r="B36" t="s">
        <v>814</v>
      </c>
      <c r="D36" s="20">
        <f>D33</f>
        <v>5861268.7599999998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Plainfield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201728.01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344791.67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54139.62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37732.58</v>
      </c>
      <c r="D11" s="95">
        <f>'DOE25'!G12</f>
        <v>1559.37</v>
      </c>
      <c r="E11" s="95">
        <f>'DOE25'!H12</f>
        <v>31274.639999999999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17435.190000000002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4668.72</v>
      </c>
      <c r="D13" s="95">
        <f>'DOE25'!G14</f>
        <v>787.38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298268.93</v>
      </c>
      <c r="D18" s="41">
        <f>SUM(D8:D17)</f>
        <v>2346.75</v>
      </c>
      <c r="E18" s="41">
        <f>SUM(E8:E17)</f>
        <v>48709.83</v>
      </c>
      <c r="F18" s="41">
        <f>SUM(F8:F17)</f>
        <v>0</v>
      </c>
      <c r="G18" s="41">
        <f>SUM(G8:G17)</f>
        <v>344791.67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15398.42</v>
      </c>
      <c r="D21" s="95">
        <f>'DOE25'!G22</f>
        <v>0</v>
      </c>
      <c r="E21" s="95">
        <f>'DOE25'!H22</f>
        <v>17435.190000000002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37732.980000000003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112004.45</v>
      </c>
      <c r="D23" s="95">
        <f>'DOE25'!G24</f>
        <v>1050.3900000000001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28.23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4811.67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127431.09999999999</v>
      </c>
      <c r="D31" s="41">
        <f>SUM(D21:D30)</f>
        <v>1050.3900000000001</v>
      </c>
      <c r="E31" s="41">
        <f>SUM(E21:E30)</f>
        <v>22246.86</v>
      </c>
      <c r="F31" s="41">
        <f>SUM(F21:F30)</f>
        <v>0</v>
      </c>
      <c r="G31" s="41">
        <f>SUM(G21:G30)</f>
        <v>37732.980000000003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1296.3599999999999</v>
      </c>
      <c r="E47" s="95">
        <f>'DOE25'!H48</f>
        <v>26462.97</v>
      </c>
      <c r="F47" s="95">
        <f>'DOE25'!I48</f>
        <v>0</v>
      </c>
      <c r="G47" s="95">
        <f>'DOE25'!J48</f>
        <v>307058.68999999994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34065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136772.83000000002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170837.83000000002</v>
      </c>
      <c r="D50" s="41">
        <f>SUM(D34:D49)</f>
        <v>1296.3599999999999</v>
      </c>
      <c r="E50" s="41">
        <f>SUM(E34:E49)</f>
        <v>26462.97</v>
      </c>
      <c r="F50" s="41">
        <f>SUM(F34:F49)</f>
        <v>0</v>
      </c>
      <c r="G50" s="41">
        <f>SUM(G34:G49)</f>
        <v>307058.68999999994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298268.93</v>
      </c>
      <c r="D51" s="41">
        <f>D50+D31</f>
        <v>2346.75</v>
      </c>
      <c r="E51" s="41">
        <f>E50+E31</f>
        <v>48709.83</v>
      </c>
      <c r="F51" s="41">
        <f>F50+F31</f>
        <v>0</v>
      </c>
      <c r="G51" s="41">
        <f>G50+G31</f>
        <v>344791.66999999993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4641031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871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1021.8799999999999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21580.39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20041.099999999999</v>
      </c>
      <c r="D61" s="95">
        <f>SUM('DOE25'!G98:G110)</f>
        <v>0</v>
      </c>
      <c r="E61" s="95">
        <f>SUM('DOE25'!H98:H110)</f>
        <v>50455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20912.099999999999</v>
      </c>
      <c r="D62" s="130">
        <f>SUM(D57:D61)</f>
        <v>21580.39</v>
      </c>
      <c r="E62" s="130">
        <f>SUM(E57:E61)</f>
        <v>50455</v>
      </c>
      <c r="F62" s="130">
        <f>SUM(F57:F61)</f>
        <v>0</v>
      </c>
      <c r="G62" s="130">
        <f>SUM(G57:G61)</f>
        <v>1021.8799999999999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4661943.0999999996</v>
      </c>
      <c r="D63" s="22">
        <f>D56+D62</f>
        <v>21580.39</v>
      </c>
      <c r="E63" s="22">
        <f>E56+E62</f>
        <v>50455</v>
      </c>
      <c r="F63" s="22">
        <f>F56+F62</f>
        <v>0</v>
      </c>
      <c r="G63" s="22">
        <f>G56+G62</f>
        <v>1021.8799999999999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653020.19999999995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641523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1294543.2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10502.33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122221.1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491.78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132723.43</v>
      </c>
      <c r="D78" s="130">
        <f>SUM(D72:D77)</f>
        <v>491.78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1427266.63</v>
      </c>
      <c r="D81" s="130">
        <f>SUM(D79:D80)+D78+D70</f>
        <v>491.78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18115.28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69726.73</v>
      </c>
      <c r="D88" s="95">
        <f>SUM('DOE25'!G153:G161)</f>
        <v>9138.2999999999993</v>
      </c>
      <c r="E88" s="95">
        <f>SUM('DOE25'!H153:H161)</f>
        <v>58641.82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69726.73</v>
      </c>
      <c r="D91" s="131">
        <f>SUM(D85:D90)</f>
        <v>9138.2999999999993</v>
      </c>
      <c r="E91" s="131">
        <f>SUM(E85:E90)</f>
        <v>76757.100000000006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27675.47</v>
      </c>
      <c r="E96" s="95">
        <f>'DOE25'!H179</f>
        <v>0</v>
      </c>
      <c r="F96" s="95">
        <f>'DOE25'!I179</f>
        <v>0</v>
      </c>
      <c r="G96" s="95">
        <f>'DOE25'!J179</f>
        <v>60000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37732.980000000003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37732.980000000003</v>
      </c>
      <c r="D103" s="86">
        <f>SUM(D93:D102)</f>
        <v>27675.47</v>
      </c>
      <c r="E103" s="86">
        <f>SUM(E93:E102)</f>
        <v>0</v>
      </c>
      <c r="F103" s="86">
        <f>SUM(F93:F102)</f>
        <v>0</v>
      </c>
      <c r="G103" s="86">
        <f>SUM(G93:G102)</f>
        <v>60000</v>
      </c>
    </row>
    <row r="104" spans="1:7" ht="12.75" thickTop="1" thickBot="1" x14ac:dyDescent="0.25">
      <c r="A104" s="33" t="s">
        <v>764</v>
      </c>
      <c r="C104" s="86">
        <f>C63+C81+C91+C103</f>
        <v>6196669.4400000004</v>
      </c>
      <c r="D104" s="86">
        <f>D63+D81+D91+D103</f>
        <v>58885.94</v>
      </c>
      <c r="E104" s="86">
        <f>E63+E81+E91+E103</f>
        <v>127212.1</v>
      </c>
      <c r="F104" s="86">
        <f>F63+F81+F91+F103</f>
        <v>0</v>
      </c>
      <c r="G104" s="86">
        <f>G63+G81+G103</f>
        <v>61021.88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3030092.91</v>
      </c>
      <c r="D109" s="24" t="s">
        <v>288</v>
      </c>
      <c r="E109" s="95">
        <f>('DOE25'!L276)+('DOE25'!L295)+('DOE25'!L314)</f>
        <v>57044.84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1150443.9500000002</v>
      </c>
      <c r="D110" s="24" t="s">
        <v>288</v>
      </c>
      <c r="E110" s="95">
        <f>('DOE25'!L277)+('DOE25'!L296)+('DOE25'!L315)</f>
        <v>43704.29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32976.050000000003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4213512.91</v>
      </c>
      <c r="D115" s="86">
        <f>SUM(D109:D114)</f>
        <v>0</v>
      </c>
      <c r="E115" s="86">
        <f>SUM(E109:E114)</f>
        <v>100749.13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268224.45999999996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191326.48</v>
      </c>
      <c r="D119" s="24" t="s">
        <v>288</v>
      </c>
      <c r="E119" s="95">
        <f>+('DOE25'!L282)+('DOE25'!L301)+('DOE25'!L320)</f>
        <v>0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256110.47999999998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343570.55000000005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370971.23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215171.4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59936.33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1645374.5999999999</v>
      </c>
      <c r="D128" s="86">
        <f>SUM(D118:D127)</f>
        <v>59936.33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85000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17837.5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37732.980000000003</v>
      </c>
    </row>
    <row r="135" spans="1:7" x14ac:dyDescent="0.2">
      <c r="A135" t="s">
        <v>233</v>
      </c>
      <c r="B135" s="32" t="s">
        <v>234</v>
      </c>
      <c r="C135" s="95">
        <f>'DOE25'!L263</f>
        <v>27675.47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61021.880000000005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-1021.8800000000047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190512.97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37732.980000000003</v>
      </c>
    </row>
    <row r="145" spans="1:9" ht="12.75" thickTop="1" thickBot="1" x14ac:dyDescent="0.25">
      <c r="A145" s="33" t="s">
        <v>244</v>
      </c>
      <c r="C145" s="86">
        <f>(C115+C128+C144)</f>
        <v>6049400.4799999995</v>
      </c>
      <c r="D145" s="86">
        <f>(D115+D128+D144)</f>
        <v>59936.33</v>
      </c>
      <c r="E145" s="86">
        <f>(E115+E128+E144)</f>
        <v>100749.13</v>
      </c>
      <c r="F145" s="86">
        <f>(F115+F128+F144)</f>
        <v>0</v>
      </c>
      <c r="G145" s="86">
        <f>(G115+G128+G144)</f>
        <v>37732.980000000003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10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12/10</v>
      </c>
      <c r="C152" s="152" t="str">
        <f>'DOE25'!G491</f>
        <v>07/12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01/21</v>
      </c>
      <c r="C153" s="152" t="str">
        <f>'DOE25'!G492</f>
        <v>08/22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314800</v>
      </c>
      <c r="C154" s="137">
        <f>'DOE25'!G493</f>
        <v>543500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3</v>
      </c>
      <c r="C155" s="137">
        <f>'DOE25'!G494</f>
        <v>2.33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150000</v>
      </c>
      <c r="C156" s="137">
        <f>'DOE25'!G495</f>
        <v>375000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525000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30000</v>
      </c>
      <c r="C158" s="137">
        <f>'DOE25'!G497</f>
        <v>55000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85000</v>
      </c>
    </row>
    <row r="159" spans="1:9" x14ac:dyDescent="0.2">
      <c r="A159" s="22" t="s">
        <v>35</v>
      </c>
      <c r="B159" s="137">
        <f>'DOE25'!F498</f>
        <v>120000</v>
      </c>
      <c r="C159" s="137">
        <f>'DOE25'!G498</f>
        <v>320000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440000</v>
      </c>
    </row>
    <row r="160" spans="1:9" x14ac:dyDescent="0.2">
      <c r="A160" s="22" t="s">
        <v>36</v>
      </c>
      <c r="B160" s="137">
        <f>'DOE25'!F499</f>
        <v>12000</v>
      </c>
      <c r="C160" s="137">
        <f>'DOE25'!G499</f>
        <v>35331.25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47331.25</v>
      </c>
    </row>
    <row r="161" spans="1:7" x14ac:dyDescent="0.2">
      <c r="A161" s="22" t="s">
        <v>37</v>
      </c>
      <c r="B161" s="137">
        <f>'DOE25'!F500</f>
        <v>132000</v>
      </c>
      <c r="C161" s="137">
        <f>'DOE25'!G500</f>
        <v>355331.25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487331.25</v>
      </c>
    </row>
    <row r="162" spans="1:7" x14ac:dyDescent="0.2">
      <c r="A162" s="22" t="s">
        <v>38</v>
      </c>
      <c r="B162" s="137">
        <f>'DOE25'!F501</f>
        <v>30000</v>
      </c>
      <c r="C162" s="137">
        <f>'DOE25'!G501</f>
        <v>55000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85000</v>
      </c>
    </row>
    <row r="163" spans="1:7" x14ac:dyDescent="0.2">
      <c r="A163" s="22" t="s">
        <v>39</v>
      </c>
      <c r="B163" s="137">
        <f>'DOE25'!F502</f>
        <v>4800</v>
      </c>
      <c r="C163" s="137">
        <f>'DOE25'!G502</f>
        <v>10462.5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15262.5</v>
      </c>
    </row>
    <row r="164" spans="1:7" x14ac:dyDescent="0.2">
      <c r="A164" s="22" t="s">
        <v>246</v>
      </c>
      <c r="B164" s="137">
        <f>'DOE25'!F503</f>
        <v>34800</v>
      </c>
      <c r="C164" s="137">
        <f>'DOE25'!G503</f>
        <v>65462.5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100262.5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5" t="s">
        <v>739</v>
      </c>
      <c r="B1" s="285"/>
      <c r="C1" s="285"/>
      <c r="D1" s="285"/>
    </row>
    <row r="2" spans="1:4" x14ac:dyDescent="0.2">
      <c r="A2" s="187" t="s">
        <v>716</v>
      </c>
      <c r="B2" s="186" t="str">
        <f>'DOE25'!A2</f>
        <v>Plainfield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21499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21499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3087138</v>
      </c>
      <c r="D10" s="182">
        <f>ROUND((C10/$C$28)*100,1)</f>
        <v>51.3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1194148</v>
      </c>
      <c r="D11" s="182">
        <f>ROUND((C11/$C$28)*100,1)</f>
        <v>19.899999999999999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32976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268224</v>
      </c>
      <c r="D15" s="182">
        <f t="shared" ref="D15:D27" si="0">ROUND((C15/$C$28)*100,1)</f>
        <v>4.5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191326</v>
      </c>
      <c r="D16" s="182">
        <f t="shared" si="0"/>
        <v>3.2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256110</v>
      </c>
      <c r="D17" s="182">
        <f t="shared" si="0"/>
        <v>4.3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343571</v>
      </c>
      <c r="D18" s="182">
        <f t="shared" si="0"/>
        <v>5.7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370971</v>
      </c>
      <c r="D20" s="182">
        <f t="shared" si="0"/>
        <v>6.2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215171</v>
      </c>
      <c r="D21" s="182">
        <f t="shared" si="0"/>
        <v>3.6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17838</v>
      </c>
      <c r="D25" s="182">
        <f t="shared" si="0"/>
        <v>0.3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38355.61</v>
      </c>
      <c r="D27" s="182">
        <f t="shared" si="0"/>
        <v>0.6</v>
      </c>
    </row>
    <row r="28" spans="1:4" x14ac:dyDescent="0.2">
      <c r="B28" s="187" t="s">
        <v>722</v>
      </c>
      <c r="C28" s="180">
        <f>SUM(C10:C27)</f>
        <v>6015828.6100000003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6015828.6100000003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85000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4641031</v>
      </c>
      <c r="D35" s="182">
        <f t="shared" ref="D35:D40" si="1">ROUND((C35/$C$41)*100,1)</f>
        <v>73.7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72388.979999999516</v>
      </c>
      <c r="D36" s="182">
        <f t="shared" si="1"/>
        <v>1.1000000000000001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1294543</v>
      </c>
      <c r="D37" s="182">
        <f t="shared" si="1"/>
        <v>20.6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133215</v>
      </c>
      <c r="D38" s="182">
        <f t="shared" si="1"/>
        <v>2.1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155622</v>
      </c>
      <c r="D39" s="182">
        <f t="shared" si="1"/>
        <v>2.5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6296799.9799999995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6" t="s">
        <v>769</v>
      </c>
      <c r="B1" s="297"/>
      <c r="C1" s="297"/>
      <c r="D1" s="297"/>
      <c r="E1" s="297"/>
      <c r="F1" s="297"/>
      <c r="G1" s="297"/>
      <c r="H1" s="297"/>
      <c r="I1" s="297"/>
      <c r="J1" s="213"/>
      <c r="K1" s="213"/>
      <c r="L1" s="213"/>
      <c r="M1" s="214"/>
    </row>
    <row r="2" spans="1:26" ht="12.75" x14ac:dyDescent="0.2">
      <c r="A2" s="302" t="s">
        <v>766</v>
      </c>
      <c r="B2" s="303"/>
      <c r="C2" s="303"/>
      <c r="D2" s="303"/>
      <c r="E2" s="303"/>
      <c r="F2" s="300" t="str">
        <f>'DOE25'!A2</f>
        <v>Plainfield School District</v>
      </c>
      <c r="G2" s="301"/>
      <c r="H2" s="301"/>
      <c r="I2" s="301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8" t="s">
        <v>770</v>
      </c>
      <c r="D3" s="298"/>
      <c r="E3" s="298"/>
      <c r="F3" s="298"/>
      <c r="G3" s="298"/>
      <c r="H3" s="298"/>
      <c r="I3" s="298"/>
      <c r="J3" s="298"/>
      <c r="K3" s="298"/>
      <c r="L3" s="298"/>
      <c r="M3" s="299"/>
    </row>
    <row r="4" spans="1:26" x14ac:dyDescent="0.2">
      <c r="A4" s="218"/>
      <c r="B4" s="219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8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8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8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7"/>
      <c r="D7" s="287"/>
      <c r="E7" s="287"/>
      <c r="F7" s="287"/>
      <c r="G7" s="287"/>
      <c r="H7" s="287"/>
      <c r="I7" s="287"/>
      <c r="J7" s="287"/>
      <c r="K7" s="287"/>
      <c r="L7" s="287"/>
      <c r="M7" s="288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7"/>
      <c r="D8" s="287"/>
      <c r="E8" s="287"/>
      <c r="F8" s="287"/>
      <c r="G8" s="287"/>
      <c r="H8" s="287"/>
      <c r="I8" s="287"/>
      <c r="J8" s="287"/>
      <c r="K8" s="287"/>
      <c r="L8" s="287"/>
      <c r="M8" s="288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7"/>
      <c r="D9" s="287"/>
      <c r="E9" s="287"/>
      <c r="F9" s="287"/>
      <c r="G9" s="287"/>
      <c r="H9" s="287"/>
      <c r="I9" s="287"/>
      <c r="J9" s="287"/>
      <c r="K9" s="287"/>
      <c r="L9" s="287"/>
      <c r="M9" s="288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7"/>
      <c r="D10" s="287"/>
      <c r="E10" s="287"/>
      <c r="F10" s="287"/>
      <c r="G10" s="287"/>
      <c r="H10" s="287"/>
      <c r="I10" s="287"/>
      <c r="J10" s="287"/>
      <c r="K10" s="287"/>
      <c r="L10" s="287"/>
      <c r="M10" s="288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7"/>
      <c r="D11" s="287"/>
      <c r="E11" s="287"/>
      <c r="F11" s="287"/>
      <c r="G11" s="287"/>
      <c r="H11" s="287"/>
      <c r="I11" s="287"/>
      <c r="J11" s="287"/>
      <c r="K11" s="287"/>
      <c r="L11" s="287"/>
      <c r="M11" s="288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7"/>
      <c r="D12" s="287"/>
      <c r="E12" s="287"/>
      <c r="F12" s="287"/>
      <c r="G12" s="287"/>
      <c r="H12" s="287"/>
      <c r="I12" s="287"/>
      <c r="J12" s="287"/>
      <c r="K12" s="287"/>
      <c r="L12" s="287"/>
      <c r="M12" s="288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8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7"/>
      <c r="D14" s="287"/>
      <c r="E14" s="287"/>
      <c r="F14" s="287"/>
      <c r="G14" s="287"/>
      <c r="H14" s="287"/>
      <c r="I14" s="287"/>
      <c r="J14" s="287"/>
      <c r="K14" s="287"/>
      <c r="L14" s="287"/>
      <c r="M14" s="288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8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7"/>
      <c r="D16" s="287"/>
      <c r="E16" s="287"/>
      <c r="F16" s="287"/>
      <c r="G16" s="287"/>
      <c r="H16" s="287"/>
      <c r="I16" s="287"/>
      <c r="J16" s="287"/>
      <c r="K16" s="287"/>
      <c r="L16" s="287"/>
      <c r="M16" s="288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7"/>
      <c r="D17" s="287"/>
      <c r="E17" s="287"/>
      <c r="F17" s="287"/>
      <c r="G17" s="287"/>
      <c r="H17" s="287"/>
      <c r="I17" s="287"/>
      <c r="J17" s="287"/>
      <c r="K17" s="287"/>
      <c r="L17" s="287"/>
      <c r="M17" s="288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8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7"/>
      <c r="D19" s="287"/>
      <c r="E19" s="287"/>
      <c r="F19" s="287"/>
      <c r="G19" s="287"/>
      <c r="H19" s="287"/>
      <c r="I19" s="287"/>
      <c r="J19" s="287"/>
      <c r="K19" s="287"/>
      <c r="L19" s="287"/>
      <c r="M19" s="288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7"/>
      <c r="D20" s="287"/>
      <c r="E20" s="287"/>
      <c r="F20" s="287"/>
      <c r="G20" s="287"/>
      <c r="H20" s="287"/>
      <c r="I20" s="287"/>
      <c r="J20" s="287"/>
      <c r="K20" s="287"/>
      <c r="L20" s="287"/>
      <c r="M20" s="288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7"/>
      <c r="D21" s="287"/>
      <c r="E21" s="287"/>
      <c r="F21" s="287"/>
      <c r="G21" s="287"/>
      <c r="H21" s="287"/>
      <c r="I21" s="287"/>
      <c r="J21" s="287"/>
      <c r="K21" s="287"/>
      <c r="L21" s="287"/>
      <c r="M21" s="288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7"/>
      <c r="D22" s="287"/>
      <c r="E22" s="287"/>
      <c r="F22" s="287"/>
      <c r="G22" s="287"/>
      <c r="H22" s="287"/>
      <c r="I22" s="287"/>
      <c r="J22" s="287"/>
      <c r="K22" s="287"/>
      <c r="L22" s="287"/>
      <c r="M22" s="288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7"/>
      <c r="D23" s="287"/>
      <c r="E23" s="287"/>
      <c r="F23" s="287"/>
      <c r="G23" s="287"/>
      <c r="H23" s="287"/>
      <c r="I23" s="287"/>
      <c r="J23" s="287"/>
      <c r="K23" s="287"/>
      <c r="L23" s="287"/>
      <c r="M23" s="288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7"/>
      <c r="D24" s="287"/>
      <c r="E24" s="287"/>
      <c r="F24" s="287"/>
      <c r="G24" s="287"/>
      <c r="H24" s="287"/>
      <c r="I24" s="287"/>
      <c r="J24" s="287"/>
      <c r="K24" s="287"/>
      <c r="L24" s="287"/>
      <c r="M24" s="288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8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7"/>
      <c r="D26" s="287"/>
      <c r="E26" s="287"/>
      <c r="F26" s="287"/>
      <c r="G26" s="287"/>
      <c r="H26" s="287"/>
      <c r="I26" s="287"/>
      <c r="J26" s="287"/>
      <c r="K26" s="287"/>
      <c r="L26" s="287"/>
      <c r="M26" s="288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8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7"/>
      <c r="D28" s="287"/>
      <c r="E28" s="287"/>
      <c r="F28" s="287"/>
      <c r="G28" s="287"/>
      <c r="H28" s="287"/>
      <c r="I28" s="287"/>
      <c r="J28" s="287"/>
      <c r="K28" s="287"/>
      <c r="L28" s="287"/>
      <c r="M28" s="288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7"/>
      <c r="D29" s="287"/>
      <c r="E29" s="287"/>
      <c r="F29" s="287"/>
      <c r="G29" s="287"/>
      <c r="H29" s="287"/>
      <c r="I29" s="287"/>
      <c r="J29" s="287"/>
      <c r="K29" s="287"/>
      <c r="L29" s="287"/>
      <c r="M29" s="288"/>
      <c r="N29" s="211"/>
      <c r="O29" s="211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07"/>
      <c r="AB29" s="207"/>
      <c r="AC29" s="292"/>
      <c r="AD29" s="292"/>
      <c r="AE29" s="292"/>
      <c r="AF29" s="292"/>
      <c r="AG29" s="292"/>
      <c r="AH29" s="292"/>
      <c r="AI29" s="292"/>
      <c r="AJ29" s="292"/>
      <c r="AK29" s="292"/>
      <c r="AL29" s="292"/>
      <c r="AM29" s="292"/>
      <c r="AN29" s="207"/>
      <c r="AO29" s="207"/>
      <c r="AP29" s="292"/>
      <c r="AQ29" s="292"/>
      <c r="AR29" s="292"/>
      <c r="AS29" s="292"/>
      <c r="AT29" s="292"/>
      <c r="AU29" s="292"/>
      <c r="AV29" s="292"/>
      <c r="AW29" s="292"/>
      <c r="AX29" s="292"/>
      <c r="AY29" s="292"/>
      <c r="AZ29" s="292"/>
      <c r="BA29" s="207"/>
      <c r="BB29" s="207"/>
      <c r="BC29" s="292"/>
      <c r="BD29" s="292"/>
      <c r="BE29" s="292"/>
      <c r="BF29" s="292"/>
      <c r="BG29" s="292"/>
      <c r="BH29" s="292"/>
      <c r="BI29" s="292"/>
      <c r="BJ29" s="292"/>
      <c r="BK29" s="292"/>
      <c r="BL29" s="292"/>
      <c r="BM29" s="292"/>
      <c r="BN29" s="207"/>
      <c r="BO29" s="207"/>
      <c r="BP29" s="292"/>
      <c r="BQ29" s="292"/>
      <c r="BR29" s="292"/>
      <c r="BS29" s="292"/>
      <c r="BT29" s="292"/>
      <c r="BU29" s="292"/>
      <c r="BV29" s="292"/>
      <c r="BW29" s="292"/>
      <c r="BX29" s="292"/>
      <c r="BY29" s="292"/>
      <c r="BZ29" s="292"/>
      <c r="CA29" s="207"/>
      <c r="CB29" s="207"/>
      <c r="CC29" s="292"/>
      <c r="CD29" s="292"/>
      <c r="CE29" s="292"/>
      <c r="CF29" s="292"/>
      <c r="CG29" s="292"/>
      <c r="CH29" s="292"/>
      <c r="CI29" s="292"/>
      <c r="CJ29" s="292"/>
      <c r="CK29" s="292"/>
      <c r="CL29" s="292"/>
      <c r="CM29" s="292"/>
      <c r="CN29" s="207"/>
      <c r="CO29" s="207"/>
      <c r="CP29" s="292"/>
      <c r="CQ29" s="292"/>
      <c r="CR29" s="292"/>
      <c r="CS29" s="292"/>
      <c r="CT29" s="292"/>
      <c r="CU29" s="292"/>
      <c r="CV29" s="292"/>
      <c r="CW29" s="292"/>
      <c r="CX29" s="292"/>
      <c r="CY29" s="292"/>
      <c r="CZ29" s="292"/>
      <c r="DA29" s="207"/>
      <c r="DB29" s="207"/>
      <c r="DC29" s="292"/>
      <c r="DD29" s="292"/>
      <c r="DE29" s="292"/>
      <c r="DF29" s="292"/>
      <c r="DG29" s="292"/>
      <c r="DH29" s="292"/>
      <c r="DI29" s="292"/>
      <c r="DJ29" s="292"/>
      <c r="DK29" s="292"/>
      <c r="DL29" s="292"/>
      <c r="DM29" s="292"/>
      <c r="DN29" s="207"/>
      <c r="DO29" s="207"/>
      <c r="DP29" s="292"/>
      <c r="DQ29" s="292"/>
      <c r="DR29" s="292"/>
      <c r="DS29" s="292"/>
      <c r="DT29" s="292"/>
      <c r="DU29" s="292"/>
      <c r="DV29" s="292"/>
      <c r="DW29" s="292"/>
      <c r="DX29" s="292"/>
      <c r="DY29" s="292"/>
      <c r="DZ29" s="292"/>
      <c r="EA29" s="207"/>
      <c r="EB29" s="207"/>
      <c r="EC29" s="292"/>
      <c r="ED29" s="292"/>
      <c r="EE29" s="292"/>
      <c r="EF29" s="292"/>
      <c r="EG29" s="292"/>
      <c r="EH29" s="292"/>
      <c r="EI29" s="292"/>
      <c r="EJ29" s="292"/>
      <c r="EK29" s="292"/>
      <c r="EL29" s="292"/>
      <c r="EM29" s="292"/>
      <c r="EN29" s="207"/>
      <c r="EO29" s="207"/>
      <c r="EP29" s="292"/>
      <c r="EQ29" s="292"/>
      <c r="ER29" s="292"/>
      <c r="ES29" s="292"/>
      <c r="ET29" s="292"/>
      <c r="EU29" s="292"/>
      <c r="EV29" s="292"/>
      <c r="EW29" s="292"/>
      <c r="EX29" s="292"/>
      <c r="EY29" s="292"/>
      <c r="EZ29" s="292"/>
      <c r="FA29" s="207"/>
      <c r="FB29" s="207"/>
      <c r="FC29" s="292"/>
      <c r="FD29" s="292"/>
      <c r="FE29" s="292"/>
      <c r="FF29" s="292"/>
      <c r="FG29" s="292"/>
      <c r="FH29" s="292"/>
      <c r="FI29" s="292"/>
      <c r="FJ29" s="292"/>
      <c r="FK29" s="292"/>
      <c r="FL29" s="292"/>
      <c r="FM29" s="292"/>
      <c r="FN29" s="207"/>
      <c r="FO29" s="207"/>
      <c r="FP29" s="292"/>
      <c r="FQ29" s="292"/>
      <c r="FR29" s="292"/>
      <c r="FS29" s="292"/>
      <c r="FT29" s="292"/>
      <c r="FU29" s="292"/>
      <c r="FV29" s="292"/>
      <c r="FW29" s="292"/>
      <c r="FX29" s="292"/>
      <c r="FY29" s="292"/>
      <c r="FZ29" s="292"/>
      <c r="GA29" s="207"/>
      <c r="GB29" s="207"/>
      <c r="GC29" s="292"/>
      <c r="GD29" s="292"/>
      <c r="GE29" s="292"/>
      <c r="GF29" s="292"/>
      <c r="GG29" s="292"/>
      <c r="GH29" s="292"/>
      <c r="GI29" s="292"/>
      <c r="GJ29" s="292"/>
      <c r="GK29" s="292"/>
      <c r="GL29" s="292"/>
      <c r="GM29" s="292"/>
      <c r="GN29" s="207"/>
      <c r="GO29" s="207"/>
      <c r="GP29" s="292"/>
      <c r="GQ29" s="292"/>
      <c r="GR29" s="292"/>
      <c r="GS29" s="292"/>
      <c r="GT29" s="292"/>
      <c r="GU29" s="292"/>
      <c r="GV29" s="292"/>
      <c r="GW29" s="292"/>
      <c r="GX29" s="292"/>
      <c r="GY29" s="292"/>
      <c r="GZ29" s="292"/>
      <c r="HA29" s="207"/>
      <c r="HB29" s="207"/>
      <c r="HC29" s="292"/>
      <c r="HD29" s="292"/>
      <c r="HE29" s="292"/>
      <c r="HF29" s="292"/>
      <c r="HG29" s="292"/>
      <c r="HH29" s="292"/>
      <c r="HI29" s="292"/>
      <c r="HJ29" s="292"/>
      <c r="HK29" s="292"/>
      <c r="HL29" s="292"/>
      <c r="HM29" s="292"/>
      <c r="HN29" s="207"/>
      <c r="HO29" s="207"/>
      <c r="HP29" s="292"/>
      <c r="HQ29" s="292"/>
      <c r="HR29" s="292"/>
      <c r="HS29" s="292"/>
      <c r="HT29" s="292"/>
      <c r="HU29" s="292"/>
      <c r="HV29" s="292"/>
      <c r="HW29" s="292"/>
      <c r="HX29" s="292"/>
      <c r="HY29" s="292"/>
      <c r="HZ29" s="292"/>
      <c r="IA29" s="207"/>
      <c r="IB29" s="207"/>
      <c r="IC29" s="292"/>
      <c r="ID29" s="292"/>
      <c r="IE29" s="292"/>
      <c r="IF29" s="292"/>
      <c r="IG29" s="292"/>
      <c r="IH29" s="292"/>
      <c r="II29" s="292"/>
      <c r="IJ29" s="292"/>
      <c r="IK29" s="292"/>
      <c r="IL29" s="292"/>
      <c r="IM29" s="292"/>
      <c r="IN29" s="207"/>
      <c r="IO29" s="207"/>
      <c r="IP29" s="292"/>
      <c r="IQ29" s="292"/>
      <c r="IR29" s="292"/>
      <c r="IS29" s="292"/>
      <c r="IT29" s="292"/>
      <c r="IU29" s="292"/>
      <c r="IV29" s="292"/>
    </row>
    <row r="30" spans="1:256" x14ac:dyDescent="0.2">
      <c r="A30" s="218"/>
      <c r="B30" s="219"/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8"/>
      <c r="N30" s="211"/>
      <c r="O30" s="211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07"/>
      <c r="AB30" s="207"/>
      <c r="AC30" s="292"/>
      <c r="AD30" s="292"/>
      <c r="AE30" s="292"/>
      <c r="AF30" s="292"/>
      <c r="AG30" s="292"/>
      <c r="AH30" s="292"/>
      <c r="AI30" s="292"/>
      <c r="AJ30" s="292"/>
      <c r="AK30" s="292"/>
      <c r="AL30" s="292"/>
      <c r="AM30" s="292"/>
      <c r="AN30" s="207"/>
      <c r="AO30" s="207"/>
      <c r="AP30" s="292"/>
      <c r="AQ30" s="292"/>
      <c r="AR30" s="292"/>
      <c r="AS30" s="292"/>
      <c r="AT30" s="292"/>
      <c r="AU30" s="292"/>
      <c r="AV30" s="292"/>
      <c r="AW30" s="292"/>
      <c r="AX30" s="292"/>
      <c r="AY30" s="292"/>
      <c r="AZ30" s="292"/>
      <c r="BA30" s="207"/>
      <c r="BB30" s="207"/>
      <c r="BC30" s="292"/>
      <c r="BD30" s="292"/>
      <c r="BE30" s="292"/>
      <c r="BF30" s="292"/>
      <c r="BG30" s="292"/>
      <c r="BH30" s="292"/>
      <c r="BI30" s="292"/>
      <c r="BJ30" s="292"/>
      <c r="BK30" s="292"/>
      <c r="BL30" s="292"/>
      <c r="BM30" s="292"/>
      <c r="BN30" s="207"/>
      <c r="BO30" s="207"/>
      <c r="BP30" s="292"/>
      <c r="BQ30" s="292"/>
      <c r="BR30" s="292"/>
      <c r="BS30" s="292"/>
      <c r="BT30" s="292"/>
      <c r="BU30" s="292"/>
      <c r="BV30" s="292"/>
      <c r="BW30" s="292"/>
      <c r="BX30" s="292"/>
      <c r="BY30" s="292"/>
      <c r="BZ30" s="292"/>
      <c r="CA30" s="207"/>
      <c r="CB30" s="207"/>
      <c r="CC30" s="292"/>
      <c r="CD30" s="292"/>
      <c r="CE30" s="292"/>
      <c r="CF30" s="292"/>
      <c r="CG30" s="292"/>
      <c r="CH30" s="292"/>
      <c r="CI30" s="292"/>
      <c r="CJ30" s="292"/>
      <c r="CK30" s="292"/>
      <c r="CL30" s="292"/>
      <c r="CM30" s="292"/>
      <c r="CN30" s="207"/>
      <c r="CO30" s="207"/>
      <c r="CP30" s="292"/>
      <c r="CQ30" s="292"/>
      <c r="CR30" s="292"/>
      <c r="CS30" s="292"/>
      <c r="CT30" s="292"/>
      <c r="CU30" s="292"/>
      <c r="CV30" s="292"/>
      <c r="CW30" s="292"/>
      <c r="CX30" s="292"/>
      <c r="CY30" s="292"/>
      <c r="CZ30" s="292"/>
      <c r="DA30" s="207"/>
      <c r="DB30" s="207"/>
      <c r="DC30" s="292"/>
      <c r="DD30" s="292"/>
      <c r="DE30" s="292"/>
      <c r="DF30" s="292"/>
      <c r="DG30" s="292"/>
      <c r="DH30" s="292"/>
      <c r="DI30" s="292"/>
      <c r="DJ30" s="292"/>
      <c r="DK30" s="292"/>
      <c r="DL30" s="292"/>
      <c r="DM30" s="292"/>
      <c r="DN30" s="207"/>
      <c r="DO30" s="207"/>
      <c r="DP30" s="292"/>
      <c r="DQ30" s="292"/>
      <c r="DR30" s="292"/>
      <c r="DS30" s="292"/>
      <c r="DT30" s="292"/>
      <c r="DU30" s="292"/>
      <c r="DV30" s="292"/>
      <c r="DW30" s="292"/>
      <c r="DX30" s="292"/>
      <c r="DY30" s="292"/>
      <c r="DZ30" s="292"/>
      <c r="EA30" s="207"/>
      <c r="EB30" s="207"/>
      <c r="EC30" s="292"/>
      <c r="ED30" s="292"/>
      <c r="EE30" s="292"/>
      <c r="EF30" s="292"/>
      <c r="EG30" s="292"/>
      <c r="EH30" s="292"/>
      <c r="EI30" s="292"/>
      <c r="EJ30" s="292"/>
      <c r="EK30" s="292"/>
      <c r="EL30" s="292"/>
      <c r="EM30" s="292"/>
      <c r="EN30" s="207"/>
      <c r="EO30" s="207"/>
      <c r="EP30" s="292"/>
      <c r="EQ30" s="292"/>
      <c r="ER30" s="292"/>
      <c r="ES30" s="292"/>
      <c r="ET30" s="292"/>
      <c r="EU30" s="292"/>
      <c r="EV30" s="292"/>
      <c r="EW30" s="292"/>
      <c r="EX30" s="292"/>
      <c r="EY30" s="292"/>
      <c r="EZ30" s="292"/>
      <c r="FA30" s="207"/>
      <c r="FB30" s="207"/>
      <c r="FC30" s="292"/>
      <c r="FD30" s="292"/>
      <c r="FE30" s="292"/>
      <c r="FF30" s="292"/>
      <c r="FG30" s="292"/>
      <c r="FH30" s="292"/>
      <c r="FI30" s="292"/>
      <c r="FJ30" s="292"/>
      <c r="FK30" s="292"/>
      <c r="FL30" s="292"/>
      <c r="FM30" s="292"/>
      <c r="FN30" s="207"/>
      <c r="FO30" s="207"/>
      <c r="FP30" s="292"/>
      <c r="FQ30" s="292"/>
      <c r="FR30" s="292"/>
      <c r="FS30" s="292"/>
      <c r="FT30" s="292"/>
      <c r="FU30" s="292"/>
      <c r="FV30" s="292"/>
      <c r="FW30" s="292"/>
      <c r="FX30" s="292"/>
      <c r="FY30" s="292"/>
      <c r="FZ30" s="292"/>
      <c r="GA30" s="207"/>
      <c r="GB30" s="207"/>
      <c r="GC30" s="292"/>
      <c r="GD30" s="292"/>
      <c r="GE30" s="292"/>
      <c r="GF30" s="292"/>
      <c r="GG30" s="292"/>
      <c r="GH30" s="292"/>
      <c r="GI30" s="292"/>
      <c r="GJ30" s="292"/>
      <c r="GK30" s="292"/>
      <c r="GL30" s="292"/>
      <c r="GM30" s="292"/>
      <c r="GN30" s="207"/>
      <c r="GO30" s="207"/>
      <c r="GP30" s="292"/>
      <c r="GQ30" s="292"/>
      <c r="GR30" s="292"/>
      <c r="GS30" s="292"/>
      <c r="GT30" s="292"/>
      <c r="GU30" s="292"/>
      <c r="GV30" s="292"/>
      <c r="GW30" s="292"/>
      <c r="GX30" s="292"/>
      <c r="GY30" s="292"/>
      <c r="GZ30" s="292"/>
      <c r="HA30" s="207"/>
      <c r="HB30" s="207"/>
      <c r="HC30" s="292"/>
      <c r="HD30" s="292"/>
      <c r="HE30" s="292"/>
      <c r="HF30" s="292"/>
      <c r="HG30" s="292"/>
      <c r="HH30" s="292"/>
      <c r="HI30" s="292"/>
      <c r="HJ30" s="292"/>
      <c r="HK30" s="292"/>
      <c r="HL30" s="292"/>
      <c r="HM30" s="292"/>
      <c r="HN30" s="207"/>
      <c r="HO30" s="207"/>
      <c r="HP30" s="292"/>
      <c r="HQ30" s="292"/>
      <c r="HR30" s="292"/>
      <c r="HS30" s="292"/>
      <c r="HT30" s="292"/>
      <c r="HU30" s="292"/>
      <c r="HV30" s="292"/>
      <c r="HW30" s="292"/>
      <c r="HX30" s="292"/>
      <c r="HY30" s="292"/>
      <c r="HZ30" s="292"/>
      <c r="IA30" s="207"/>
      <c r="IB30" s="207"/>
      <c r="IC30" s="292"/>
      <c r="ID30" s="292"/>
      <c r="IE30" s="292"/>
      <c r="IF30" s="292"/>
      <c r="IG30" s="292"/>
      <c r="IH30" s="292"/>
      <c r="II30" s="292"/>
      <c r="IJ30" s="292"/>
      <c r="IK30" s="292"/>
      <c r="IL30" s="292"/>
      <c r="IM30" s="292"/>
      <c r="IN30" s="207"/>
      <c r="IO30" s="207"/>
      <c r="IP30" s="292"/>
      <c r="IQ30" s="292"/>
      <c r="IR30" s="292"/>
      <c r="IS30" s="292"/>
      <c r="IT30" s="292"/>
      <c r="IU30" s="292"/>
      <c r="IV30" s="292"/>
    </row>
    <row r="31" spans="1:256" x14ac:dyDescent="0.2">
      <c r="A31" s="218"/>
      <c r="B31" s="219"/>
      <c r="C31" s="287"/>
      <c r="D31" s="287"/>
      <c r="E31" s="287"/>
      <c r="F31" s="287"/>
      <c r="G31" s="287"/>
      <c r="H31" s="287"/>
      <c r="I31" s="287"/>
      <c r="J31" s="287"/>
      <c r="K31" s="287"/>
      <c r="L31" s="287"/>
      <c r="M31" s="288"/>
      <c r="N31" s="211"/>
      <c r="O31" s="211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07"/>
      <c r="AB31" s="207"/>
      <c r="AC31" s="292"/>
      <c r="AD31" s="292"/>
      <c r="AE31" s="292"/>
      <c r="AF31" s="292"/>
      <c r="AG31" s="292"/>
      <c r="AH31" s="292"/>
      <c r="AI31" s="292"/>
      <c r="AJ31" s="292"/>
      <c r="AK31" s="292"/>
      <c r="AL31" s="292"/>
      <c r="AM31" s="292"/>
      <c r="AN31" s="207"/>
      <c r="AO31" s="207"/>
      <c r="AP31" s="292"/>
      <c r="AQ31" s="292"/>
      <c r="AR31" s="292"/>
      <c r="AS31" s="292"/>
      <c r="AT31" s="292"/>
      <c r="AU31" s="292"/>
      <c r="AV31" s="292"/>
      <c r="AW31" s="292"/>
      <c r="AX31" s="292"/>
      <c r="AY31" s="292"/>
      <c r="AZ31" s="292"/>
      <c r="BA31" s="207"/>
      <c r="BB31" s="207"/>
      <c r="BC31" s="292"/>
      <c r="BD31" s="292"/>
      <c r="BE31" s="292"/>
      <c r="BF31" s="292"/>
      <c r="BG31" s="292"/>
      <c r="BH31" s="292"/>
      <c r="BI31" s="292"/>
      <c r="BJ31" s="292"/>
      <c r="BK31" s="292"/>
      <c r="BL31" s="292"/>
      <c r="BM31" s="292"/>
      <c r="BN31" s="207"/>
      <c r="BO31" s="207"/>
      <c r="BP31" s="292"/>
      <c r="BQ31" s="292"/>
      <c r="BR31" s="292"/>
      <c r="BS31" s="292"/>
      <c r="BT31" s="292"/>
      <c r="BU31" s="292"/>
      <c r="BV31" s="292"/>
      <c r="BW31" s="292"/>
      <c r="BX31" s="292"/>
      <c r="BY31" s="292"/>
      <c r="BZ31" s="292"/>
      <c r="CA31" s="207"/>
      <c r="CB31" s="207"/>
      <c r="CC31" s="292"/>
      <c r="CD31" s="292"/>
      <c r="CE31" s="292"/>
      <c r="CF31" s="292"/>
      <c r="CG31" s="292"/>
      <c r="CH31" s="292"/>
      <c r="CI31" s="292"/>
      <c r="CJ31" s="292"/>
      <c r="CK31" s="292"/>
      <c r="CL31" s="292"/>
      <c r="CM31" s="292"/>
      <c r="CN31" s="207"/>
      <c r="CO31" s="207"/>
      <c r="CP31" s="292"/>
      <c r="CQ31" s="292"/>
      <c r="CR31" s="292"/>
      <c r="CS31" s="292"/>
      <c r="CT31" s="292"/>
      <c r="CU31" s="292"/>
      <c r="CV31" s="292"/>
      <c r="CW31" s="292"/>
      <c r="CX31" s="292"/>
      <c r="CY31" s="292"/>
      <c r="CZ31" s="292"/>
      <c r="DA31" s="207"/>
      <c r="DB31" s="207"/>
      <c r="DC31" s="292"/>
      <c r="DD31" s="292"/>
      <c r="DE31" s="292"/>
      <c r="DF31" s="292"/>
      <c r="DG31" s="292"/>
      <c r="DH31" s="292"/>
      <c r="DI31" s="292"/>
      <c r="DJ31" s="292"/>
      <c r="DK31" s="292"/>
      <c r="DL31" s="292"/>
      <c r="DM31" s="292"/>
      <c r="DN31" s="207"/>
      <c r="DO31" s="207"/>
      <c r="DP31" s="292"/>
      <c r="DQ31" s="292"/>
      <c r="DR31" s="292"/>
      <c r="DS31" s="292"/>
      <c r="DT31" s="292"/>
      <c r="DU31" s="292"/>
      <c r="DV31" s="292"/>
      <c r="DW31" s="292"/>
      <c r="DX31" s="292"/>
      <c r="DY31" s="292"/>
      <c r="DZ31" s="292"/>
      <c r="EA31" s="207"/>
      <c r="EB31" s="207"/>
      <c r="EC31" s="292"/>
      <c r="ED31" s="292"/>
      <c r="EE31" s="292"/>
      <c r="EF31" s="292"/>
      <c r="EG31" s="292"/>
      <c r="EH31" s="292"/>
      <c r="EI31" s="292"/>
      <c r="EJ31" s="292"/>
      <c r="EK31" s="292"/>
      <c r="EL31" s="292"/>
      <c r="EM31" s="292"/>
      <c r="EN31" s="207"/>
      <c r="EO31" s="207"/>
      <c r="EP31" s="292"/>
      <c r="EQ31" s="292"/>
      <c r="ER31" s="292"/>
      <c r="ES31" s="292"/>
      <c r="ET31" s="292"/>
      <c r="EU31" s="292"/>
      <c r="EV31" s="292"/>
      <c r="EW31" s="292"/>
      <c r="EX31" s="292"/>
      <c r="EY31" s="292"/>
      <c r="EZ31" s="292"/>
      <c r="FA31" s="207"/>
      <c r="FB31" s="207"/>
      <c r="FC31" s="292"/>
      <c r="FD31" s="292"/>
      <c r="FE31" s="292"/>
      <c r="FF31" s="292"/>
      <c r="FG31" s="292"/>
      <c r="FH31" s="292"/>
      <c r="FI31" s="292"/>
      <c r="FJ31" s="292"/>
      <c r="FK31" s="292"/>
      <c r="FL31" s="292"/>
      <c r="FM31" s="292"/>
      <c r="FN31" s="207"/>
      <c r="FO31" s="207"/>
      <c r="FP31" s="292"/>
      <c r="FQ31" s="292"/>
      <c r="FR31" s="292"/>
      <c r="FS31" s="292"/>
      <c r="FT31" s="292"/>
      <c r="FU31" s="292"/>
      <c r="FV31" s="292"/>
      <c r="FW31" s="292"/>
      <c r="FX31" s="292"/>
      <c r="FY31" s="292"/>
      <c r="FZ31" s="292"/>
      <c r="GA31" s="207"/>
      <c r="GB31" s="207"/>
      <c r="GC31" s="292"/>
      <c r="GD31" s="292"/>
      <c r="GE31" s="292"/>
      <c r="GF31" s="292"/>
      <c r="GG31" s="292"/>
      <c r="GH31" s="292"/>
      <c r="GI31" s="292"/>
      <c r="GJ31" s="292"/>
      <c r="GK31" s="292"/>
      <c r="GL31" s="292"/>
      <c r="GM31" s="292"/>
      <c r="GN31" s="207"/>
      <c r="GO31" s="207"/>
      <c r="GP31" s="292"/>
      <c r="GQ31" s="292"/>
      <c r="GR31" s="292"/>
      <c r="GS31" s="292"/>
      <c r="GT31" s="292"/>
      <c r="GU31" s="292"/>
      <c r="GV31" s="292"/>
      <c r="GW31" s="292"/>
      <c r="GX31" s="292"/>
      <c r="GY31" s="292"/>
      <c r="GZ31" s="292"/>
      <c r="HA31" s="207"/>
      <c r="HB31" s="207"/>
      <c r="HC31" s="292"/>
      <c r="HD31" s="292"/>
      <c r="HE31" s="292"/>
      <c r="HF31" s="292"/>
      <c r="HG31" s="292"/>
      <c r="HH31" s="292"/>
      <c r="HI31" s="292"/>
      <c r="HJ31" s="292"/>
      <c r="HK31" s="292"/>
      <c r="HL31" s="292"/>
      <c r="HM31" s="292"/>
      <c r="HN31" s="207"/>
      <c r="HO31" s="207"/>
      <c r="HP31" s="292"/>
      <c r="HQ31" s="292"/>
      <c r="HR31" s="292"/>
      <c r="HS31" s="292"/>
      <c r="HT31" s="292"/>
      <c r="HU31" s="292"/>
      <c r="HV31" s="292"/>
      <c r="HW31" s="292"/>
      <c r="HX31" s="292"/>
      <c r="HY31" s="292"/>
      <c r="HZ31" s="292"/>
      <c r="IA31" s="207"/>
      <c r="IB31" s="207"/>
      <c r="IC31" s="292"/>
      <c r="ID31" s="292"/>
      <c r="IE31" s="292"/>
      <c r="IF31" s="292"/>
      <c r="IG31" s="292"/>
      <c r="IH31" s="292"/>
      <c r="II31" s="292"/>
      <c r="IJ31" s="292"/>
      <c r="IK31" s="292"/>
      <c r="IL31" s="292"/>
      <c r="IM31" s="292"/>
      <c r="IN31" s="207"/>
      <c r="IO31" s="207"/>
      <c r="IP31" s="292"/>
      <c r="IQ31" s="292"/>
      <c r="IR31" s="292"/>
      <c r="IS31" s="292"/>
      <c r="IT31" s="292"/>
      <c r="IU31" s="292"/>
      <c r="IV31" s="292"/>
    </row>
    <row r="32" spans="1:256" x14ac:dyDescent="0.2">
      <c r="A32" s="218"/>
      <c r="B32" s="219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8"/>
      <c r="N32" s="223"/>
      <c r="O32" s="223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8"/>
      <c r="AB32" s="219"/>
      <c r="AC32" s="287"/>
      <c r="AD32" s="287"/>
      <c r="AE32" s="287"/>
      <c r="AF32" s="287"/>
      <c r="AG32" s="287"/>
      <c r="AH32" s="287"/>
      <c r="AI32" s="287"/>
      <c r="AJ32" s="287"/>
      <c r="AK32" s="287"/>
      <c r="AL32" s="287"/>
      <c r="AM32" s="288"/>
      <c r="AN32" s="218"/>
      <c r="AO32" s="219"/>
      <c r="AP32" s="287"/>
      <c r="AQ32" s="287"/>
      <c r="AR32" s="287"/>
      <c r="AS32" s="287"/>
      <c r="AT32" s="287"/>
      <c r="AU32" s="287"/>
      <c r="AV32" s="287"/>
      <c r="AW32" s="287"/>
      <c r="AX32" s="287"/>
      <c r="AY32" s="287"/>
      <c r="AZ32" s="288"/>
      <c r="BA32" s="218"/>
      <c r="BB32" s="219"/>
      <c r="BC32" s="287"/>
      <c r="BD32" s="287"/>
      <c r="BE32" s="287"/>
      <c r="BF32" s="287"/>
      <c r="BG32" s="287"/>
      <c r="BH32" s="287"/>
      <c r="BI32" s="287"/>
      <c r="BJ32" s="287"/>
      <c r="BK32" s="287"/>
      <c r="BL32" s="287"/>
      <c r="BM32" s="288"/>
      <c r="BN32" s="218"/>
      <c r="BO32" s="219"/>
      <c r="BP32" s="287"/>
      <c r="BQ32" s="287"/>
      <c r="BR32" s="287"/>
      <c r="BS32" s="287"/>
      <c r="BT32" s="287"/>
      <c r="BU32" s="287"/>
      <c r="BV32" s="287"/>
      <c r="BW32" s="287"/>
      <c r="BX32" s="287"/>
      <c r="BY32" s="287"/>
      <c r="BZ32" s="288"/>
      <c r="CA32" s="218"/>
      <c r="CB32" s="219"/>
      <c r="CC32" s="287"/>
      <c r="CD32" s="287"/>
      <c r="CE32" s="287"/>
      <c r="CF32" s="287"/>
      <c r="CG32" s="287"/>
      <c r="CH32" s="287"/>
      <c r="CI32" s="287"/>
      <c r="CJ32" s="287"/>
      <c r="CK32" s="287"/>
      <c r="CL32" s="287"/>
      <c r="CM32" s="288"/>
      <c r="CN32" s="218"/>
      <c r="CO32" s="219"/>
      <c r="CP32" s="287"/>
      <c r="CQ32" s="287"/>
      <c r="CR32" s="287"/>
      <c r="CS32" s="287"/>
      <c r="CT32" s="287"/>
      <c r="CU32" s="287"/>
      <c r="CV32" s="287"/>
      <c r="CW32" s="287"/>
      <c r="CX32" s="287"/>
      <c r="CY32" s="287"/>
      <c r="CZ32" s="288"/>
      <c r="DA32" s="218"/>
      <c r="DB32" s="219"/>
      <c r="DC32" s="287"/>
      <c r="DD32" s="287"/>
      <c r="DE32" s="287"/>
      <c r="DF32" s="287"/>
      <c r="DG32" s="287"/>
      <c r="DH32" s="287"/>
      <c r="DI32" s="287"/>
      <c r="DJ32" s="287"/>
      <c r="DK32" s="287"/>
      <c r="DL32" s="287"/>
      <c r="DM32" s="288"/>
      <c r="DN32" s="218"/>
      <c r="DO32" s="219"/>
      <c r="DP32" s="287"/>
      <c r="DQ32" s="287"/>
      <c r="DR32" s="287"/>
      <c r="DS32" s="287"/>
      <c r="DT32" s="287"/>
      <c r="DU32" s="287"/>
      <c r="DV32" s="287"/>
      <c r="DW32" s="287"/>
      <c r="DX32" s="287"/>
      <c r="DY32" s="287"/>
      <c r="DZ32" s="288"/>
      <c r="EA32" s="218"/>
      <c r="EB32" s="219"/>
      <c r="EC32" s="287"/>
      <c r="ED32" s="287"/>
      <c r="EE32" s="287"/>
      <c r="EF32" s="287"/>
      <c r="EG32" s="287"/>
      <c r="EH32" s="287"/>
      <c r="EI32" s="287"/>
      <c r="EJ32" s="287"/>
      <c r="EK32" s="287"/>
      <c r="EL32" s="287"/>
      <c r="EM32" s="288"/>
      <c r="EN32" s="218"/>
      <c r="EO32" s="219"/>
      <c r="EP32" s="287"/>
      <c r="EQ32" s="287"/>
      <c r="ER32" s="287"/>
      <c r="ES32" s="287"/>
      <c r="ET32" s="287"/>
      <c r="EU32" s="287"/>
      <c r="EV32" s="287"/>
      <c r="EW32" s="287"/>
      <c r="EX32" s="287"/>
      <c r="EY32" s="287"/>
      <c r="EZ32" s="288"/>
      <c r="FA32" s="218"/>
      <c r="FB32" s="219"/>
      <c r="FC32" s="287"/>
      <c r="FD32" s="287"/>
      <c r="FE32" s="287"/>
      <c r="FF32" s="287"/>
      <c r="FG32" s="287"/>
      <c r="FH32" s="287"/>
      <c r="FI32" s="287"/>
      <c r="FJ32" s="287"/>
      <c r="FK32" s="287"/>
      <c r="FL32" s="287"/>
      <c r="FM32" s="288"/>
      <c r="FN32" s="218"/>
      <c r="FO32" s="219"/>
      <c r="FP32" s="287"/>
      <c r="FQ32" s="287"/>
      <c r="FR32" s="287"/>
      <c r="FS32" s="287"/>
      <c r="FT32" s="287"/>
      <c r="FU32" s="287"/>
      <c r="FV32" s="287"/>
      <c r="FW32" s="287"/>
      <c r="FX32" s="287"/>
      <c r="FY32" s="287"/>
      <c r="FZ32" s="288"/>
      <c r="GA32" s="218"/>
      <c r="GB32" s="219"/>
      <c r="GC32" s="287"/>
      <c r="GD32" s="287"/>
      <c r="GE32" s="287"/>
      <c r="GF32" s="287"/>
      <c r="GG32" s="287"/>
      <c r="GH32" s="287"/>
      <c r="GI32" s="287"/>
      <c r="GJ32" s="287"/>
      <c r="GK32" s="287"/>
      <c r="GL32" s="287"/>
      <c r="GM32" s="288"/>
      <c r="GN32" s="218"/>
      <c r="GO32" s="219"/>
      <c r="GP32" s="287"/>
      <c r="GQ32" s="287"/>
      <c r="GR32" s="287"/>
      <c r="GS32" s="287"/>
      <c r="GT32" s="287"/>
      <c r="GU32" s="287"/>
      <c r="GV32" s="287"/>
      <c r="GW32" s="287"/>
      <c r="GX32" s="287"/>
      <c r="GY32" s="287"/>
      <c r="GZ32" s="288"/>
      <c r="HA32" s="218"/>
      <c r="HB32" s="219"/>
      <c r="HC32" s="287"/>
      <c r="HD32" s="287"/>
      <c r="HE32" s="287"/>
      <c r="HF32" s="287"/>
      <c r="HG32" s="287"/>
      <c r="HH32" s="287"/>
      <c r="HI32" s="287"/>
      <c r="HJ32" s="287"/>
      <c r="HK32" s="287"/>
      <c r="HL32" s="287"/>
      <c r="HM32" s="288"/>
      <c r="HN32" s="218"/>
      <c r="HO32" s="219"/>
      <c r="HP32" s="287"/>
      <c r="HQ32" s="287"/>
      <c r="HR32" s="287"/>
      <c r="HS32" s="287"/>
      <c r="HT32" s="287"/>
      <c r="HU32" s="287"/>
      <c r="HV32" s="287"/>
      <c r="HW32" s="287"/>
      <c r="HX32" s="287"/>
      <c r="HY32" s="287"/>
      <c r="HZ32" s="288"/>
      <c r="IA32" s="218"/>
      <c r="IB32" s="219"/>
      <c r="IC32" s="287"/>
      <c r="ID32" s="287"/>
      <c r="IE32" s="287"/>
      <c r="IF32" s="287"/>
      <c r="IG32" s="287"/>
      <c r="IH32" s="287"/>
      <c r="II32" s="287"/>
      <c r="IJ32" s="287"/>
      <c r="IK32" s="287"/>
      <c r="IL32" s="287"/>
      <c r="IM32" s="288"/>
      <c r="IN32" s="218"/>
      <c r="IO32" s="219"/>
      <c r="IP32" s="287"/>
      <c r="IQ32" s="287"/>
      <c r="IR32" s="287"/>
      <c r="IS32" s="287"/>
      <c r="IT32" s="287"/>
      <c r="IU32" s="287"/>
      <c r="IV32" s="287"/>
    </row>
    <row r="33" spans="1:256" x14ac:dyDescent="0.2">
      <c r="A33" s="218"/>
      <c r="B33" s="219"/>
      <c r="C33" s="287"/>
      <c r="D33" s="287"/>
      <c r="E33" s="287"/>
      <c r="F33" s="287"/>
      <c r="G33" s="287"/>
      <c r="H33" s="287"/>
      <c r="I33" s="287"/>
      <c r="J33" s="287"/>
      <c r="K33" s="287"/>
      <c r="L33" s="287"/>
      <c r="M33" s="288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8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7"/>
      <c r="D35" s="287"/>
      <c r="E35" s="287"/>
      <c r="F35" s="287"/>
      <c r="G35" s="287"/>
      <c r="H35" s="287"/>
      <c r="I35" s="287"/>
      <c r="J35" s="287"/>
      <c r="K35" s="287"/>
      <c r="L35" s="287"/>
      <c r="M35" s="288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7"/>
      <c r="D36" s="287"/>
      <c r="E36" s="287"/>
      <c r="F36" s="287"/>
      <c r="G36" s="287"/>
      <c r="H36" s="287"/>
      <c r="I36" s="287"/>
      <c r="J36" s="287"/>
      <c r="K36" s="287"/>
      <c r="L36" s="287"/>
      <c r="M36" s="288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7"/>
      <c r="D37" s="287"/>
      <c r="E37" s="287"/>
      <c r="F37" s="287"/>
      <c r="G37" s="287"/>
      <c r="H37" s="287"/>
      <c r="I37" s="287"/>
      <c r="J37" s="287"/>
      <c r="K37" s="287"/>
      <c r="L37" s="287"/>
      <c r="M37" s="288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7"/>
      <c r="D38" s="287"/>
      <c r="E38" s="287"/>
      <c r="F38" s="287"/>
      <c r="G38" s="287"/>
      <c r="H38" s="287"/>
      <c r="I38" s="287"/>
      <c r="J38" s="287"/>
      <c r="K38" s="287"/>
      <c r="L38" s="287"/>
      <c r="M38" s="288"/>
      <c r="N38" s="211"/>
      <c r="O38" s="211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07"/>
      <c r="AB38" s="207"/>
      <c r="AC38" s="292"/>
      <c r="AD38" s="292"/>
      <c r="AE38" s="292"/>
      <c r="AF38" s="292"/>
      <c r="AG38" s="292"/>
      <c r="AH38" s="292"/>
      <c r="AI38" s="292"/>
      <c r="AJ38" s="292"/>
      <c r="AK38" s="292"/>
      <c r="AL38" s="292"/>
      <c r="AM38" s="292"/>
      <c r="AN38" s="207"/>
      <c r="AO38" s="207"/>
      <c r="AP38" s="292"/>
      <c r="AQ38" s="292"/>
      <c r="AR38" s="292"/>
      <c r="AS38" s="292"/>
      <c r="AT38" s="292"/>
      <c r="AU38" s="292"/>
      <c r="AV38" s="292"/>
      <c r="AW38" s="292"/>
      <c r="AX38" s="292"/>
      <c r="AY38" s="292"/>
      <c r="AZ38" s="292"/>
      <c r="BA38" s="207"/>
      <c r="BB38" s="207"/>
      <c r="BC38" s="292"/>
      <c r="BD38" s="292"/>
      <c r="BE38" s="292"/>
      <c r="BF38" s="292"/>
      <c r="BG38" s="292"/>
      <c r="BH38" s="292"/>
      <c r="BI38" s="292"/>
      <c r="BJ38" s="292"/>
      <c r="BK38" s="292"/>
      <c r="BL38" s="292"/>
      <c r="BM38" s="292"/>
      <c r="BN38" s="207"/>
      <c r="BO38" s="207"/>
      <c r="BP38" s="292"/>
      <c r="BQ38" s="292"/>
      <c r="BR38" s="292"/>
      <c r="BS38" s="292"/>
      <c r="BT38" s="292"/>
      <c r="BU38" s="292"/>
      <c r="BV38" s="292"/>
      <c r="BW38" s="292"/>
      <c r="BX38" s="292"/>
      <c r="BY38" s="292"/>
      <c r="BZ38" s="292"/>
      <c r="CA38" s="207"/>
      <c r="CB38" s="207"/>
      <c r="CC38" s="292"/>
      <c r="CD38" s="292"/>
      <c r="CE38" s="292"/>
      <c r="CF38" s="292"/>
      <c r="CG38" s="292"/>
      <c r="CH38" s="292"/>
      <c r="CI38" s="292"/>
      <c r="CJ38" s="292"/>
      <c r="CK38" s="292"/>
      <c r="CL38" s="292"/>
      <c r="CM38" s="292"/>
      <c r="CN38" s="207"/>
      <c r="CO38" s="207"/>
      <c r="CP38" s="292"/>
      <c r="CQ38" s="292"/>
      <c r="CR38" s="292"/>
      <c r="CS38" s="292"/>
      <c r="CT38" s="292"/>
      <c r="CU38" s="292"/>
      <c r="CV38" s="292"/>
      <c r="CW38" s="292"/>
      <c r="CX38" s="292"/>
      <c r="CY38" s="292"/>
      <c r="CZ38" s="292"/>
      <c r="DA38" s="207"/>
      <c r="DB38" s="207"/>
      <c r="DC38" s="292"/>
      <c r="DD38" s="292"/>
      <c r="DE38" s="292"/>
      <c r="DF38" s="292"/>
      <c r="DG38" s="292"/>
      <c r="DH38" s="292"/>
      <c r="DI38" s="292"/>
      <c r="DJ38" s="292"/>
      <c r="DK38" s="292"/>
      <c r="DL38" s="292"/>
      <c r="DM38" s="292"/>
      <c r="DN38" s="207"/>
      <c r="DO38" s="207"/>
      <c r="DP38" s="292"/>
      <c r="DQ38" s="292"/>
      <c r="DR38" s="292"/>
      <c r="DS38" s="292"/>
      <c r="DT38" s="292"/>
      <c r="DU38" s="292"/>
      <c r="DV38" s="292"/>
      <c r="DW38" s="292"/>
      <c r="DX38" s="292"/>
      <c r="DY38" s="292"/>
      <c r="DZ38" s="292"/>
      <c r="EA38" s="207"/>
      <c r="EB38" s="207"/>
      <c r="EC38" s="292"/>
      <c r="ED38" s="292"/>
      <c r="EE38" s="292"/>
      <c r="EF38" s="292"/>
      <c r="EG38" s="292"/>
      <c r="EH38" s="292"/>
      <c r="EI38" s="292"/>
      <c r="EJ38" s="292"/>
      <c r="EK38" s="292"/>
      <c r="EL38" s="292"/>
      <c r="EM38" s="292"/>
      <c r="EN38" s="207"/>
      <c r="EO38" s="207"/>
      <c r="EP38" s="292"/>
      <c r="EQ38" s="292"/>
      <c r="ER38" s="292"/>
      <c r="ES38" s="292"/>
      <c r="ET38" s="292"/>
      <c r="EU38" s="292"/>
      <c r="EV38" s="292"/>
      <c r="EW38" s="292"/>
      <c r="EX38" s="292"/>
      <c r="EY38" s="292"/>
      <c r="EZ38" s="292"/>
      <c r="FA38" s="207"/>
      <c r="FB38" s="207"/>
      <c r="FC38" s="292"/>
      <c r="FD38" s="292"/>
      <c r="FE38" s="292"/>
      <c r="FF38" s="292"/>
      <c r="FG38" s="292"/>
      <c r="FH38" s="292"/>
      <c r="FI38" s="292"/>
      <c r="FJ38" s="292"/>
      <c r="FK38" s="292"/>
      <c r="FL38" s="292"/>
      <c r="FM38" s="292"/>
      <c r="FN38" s="207"/>
      <c r="FO38" s="207"/>
      <c r="FP38" s="292"/>
      <c r="FQ38" s="292"/>
      <c r="FR38" s="292"/>
      <c r="FS38" s="292"/>
      <c r="FT38" s="292"/>
      <c r="FU38" s="292"/>
      <c r="FV38" s="292"/>
      <c r="FW38" s="292"/>
      <c r="FX38" s="292"/>
      <c r="FY38" s="292"/>
      <c r="FZ38" s="292"/>
      <c r="GA38" s="207"/>
      <c r="GB38" s="207"/>
      <c r="GC38" s="292"/>
      <c r="GD38" s="292"/>
      <c r="GE38" s="292"/>
      <c r="GF38" s="292"/>
      <c r="GG38" s="292"/>
      <c r="GH38" s="292"/>
      <c r="GI38" s="292"/>
      <c r="GJ38" s="292"/>
      <c r="GK38" s="292"/>
      <c r="GL38" s="292"/>
      <c r="GM38" s="292"/>
      <c r="GN38" s="207"/>
      <c r="GO38" s="207"/>
      <c r="GP38" s="292"/>
      <c r="GQ38" s="292"/>
      <c r="GR38" s="292"/>
      <c r="GS38" s="292"/>
      <c r="GT38" s="292"/>
      <c r="GU38" s="292"/>
      <c r="GV38" s="292"/>
      <c r="GW38" s="292"/>
      <c r="GX38" s="292"/>
      <c r="GY38" s="292"/>
      <c r="GZ38" s="292"/>
      <c r="HA38" s="207"/>
      <c r="HB38" s="207"/>
      <c r="HC38" s="292"/>
      <c r="HD38" s="292"/>
      <c r="HE38" s="292"/>
      <c r="HF38" s="292"/>
      <c r="HG38" s="292"/>
      <c r="HH38" s="292"/>
      <c r="HI38" s="292"/>
      <c r="HJ38" s="292"/>
      <c r="HK38" s="292"/>
      <c r="HL38" s="292"/>
      <c r="HM38" s="292"/>
      <c r="HN38" s="207"/>
      <c r="HO38" s="207"/>
      <c r="HP38" s="292"/>
      <c r="HQ38" s="292"/>
      <c r="HR38" s="292"/>
      <c r="HS38" s="292"/>
      <c r="HT38" s="292"/>
      <c r="HU38" s="292"/>
      <c r="HV38" s="292"/>
      <c r="HW38" s="292"/>
      <c r="HX38" s="292"/>
      <c r="HY38" s="292"/>
      <c r="HZ38" s="292"/>
      <c r="IA38" s="207"/>
      <c r="IB38" s="207"/>
      <c r="IC38" s="292"/>
      <c r="ID38" s="292"/>
      <c r="IE38" s="292"/>
      <c r="IF38" s="292"/>
      <c r="IG38" s="292"/>
      <c r="IH38" s="292"/>
      <c r="II38" s="292"/>
      <c r="IJ38" s="292"/>
      <c r="IK38" s="292"/>
      <c r="IL38" s="292"/>
      <c r="IM38" s="292"/>
      <c r="IN38" s="207"/>
      <c r="IO38" s="207"/>
      <c r="IP38" s="292"/>
      <c r="IQ38" s="292"/>
      <c r="IR38" s="292"/>
      <c r="IS38" s="292"/>
      <c r="IT38" s="292"/>
      <c r="IU38" s="292"/>
      <c r="IV38" s="292"/>
    </row>
    <row r="39" spans="1:256" x14ac:dyDescent="0.2">
      <c r="A39" s="218"/>
      <c r="B39" s="219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8"/>
      <c r="N39" s="211"/>
      <c r="O39" s="211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07"/>
      <c r="AB39" s="207"/>
      <c r="AC39" s="292"/>
      <c r="AD39" s="292"/>
      <c r="AE39" s="292"/>
      <c r="AF39" s="292"/>
      <c r="AG39" s="292"/>
      <c r="AH39" s="292"/>
      <c r="AI39" s="292"/>
      <c r="AJ39" s="292"/>
      <c r="AK39" s="292"/>
      <c r="AL39" s="292"/>
      <c r="AM39" s="292"/>
      <c r="AN39" s="207"/>
      <c r="AO39" s="207"/>
      <c r="AP39" s="292"/>
      <c r="AQ39" s="292"/>
      <c r="AR39" s="292"/>
      <c r="AS39" s="292"/>
      <c r="AT39" s="292"/>
      <c r="AU39" s="292"/>
      <c r="AV39" s="292"/>
      <c r="AW39" s="292"/>
      <c r="AX39" s="292"/>
      <c r="AY39" s="292"/>
      <c r="AZ39" s="292"/>
      <c r="BA39" s="207"/>
      <c r="BB39" s="207"/>
      <c r="BC39" s="292"/>
      <c r="BD39" s="292"/>
      <c r="BE39" s="292"/>
      <c r="BF39" s="292"/>
      <c r="BG39" s="292"/>
      <c r="BH39" s="292"/>
      <c r="BI39" s="292"/>
      <c r="BJ39" s="292"/>
      <c r="BK39" s="292"/>
      <c r="BL39" s="292"/>
      <c r="BM39" s="292"/>
      <c r="BN39" s="207"/>
      <c r="BO39" s="207"/>
      <c r="BP39" s="292"/>
      <c r="BQ39" s="292"/>
      <c r="BR39" s="292"/>
      <c r="BS39" s="292"/>
      <c r="BT39" s="292"/>
      <c r="BU39" s="292"/>
      <c r="BV39" s="292"/>
      <c r="BW39" s="292"/>
      <c r="BX39" s="292"/>
      <c r="BY39" s="292"/>
      <c r="BZ39" s="292"/>
      <c r="CA39" s="207"/>
      <c r="CB39" s="207"/>
      <c r="CC39" s="292"/>
      <c r="CD39" s="292"/>
      <c r="CE39" s="292"/>
      <c r="CF39" s="292"/>
      <c r="CG39" s="292"/>
      <c r="CH39" s="292"/>
      <c r="CI39" s="292"/>
      <c r="CJ39" s="292"/>
      <c r="CK39" s="292"/>
      <c r="CL39" s="292"/>
      <c r="CM39" s="292"/>
      <c r="CN39" s="207"/>
      <c r="CO39" s="207"/>
      <c r="CP39" s="292"/>
      <c r="CQ39" s="292"/>
      <c r="CR39" s="292"/>
      <c r="CS39" s="292"/>
      <c r="CT39" s="292"/>
      <c r="CU39" s="292"/>
      <c r="CV39" s="292"/>
      <c r="CW39" s="292"/>
      <c r="CX39" s="292"/>
      <c r="CY39" s="292"/>
      <c r="CZ39" s="292"/>
      <c r="DA39" s="207"/>
      <c r="DB39" s="207"/>
      <c r="DC39" s="292"/>
      <c r="DD39" s="292"/>
      <c r="DE39" s="292"/>
      <c r="DF39" s="292"/>
      <c r="DG39" s="292"/>
      <c r="DH39" s="292"/>
      <c r="DI39" s="292"/>
      <c r="DJ39" s="292"/>
      <c r="DK39" s="292"/>
      <c r="DL39" s="292"/>
      <c r="DM39" s="292"/>
      <c r="DN39" s="207"/>
      <c r="DO39" s="207"/>
      <c r="DP39" s="292"/>
      <c r="DQ39" s="292"/>
      <c r="DR39" s="292"/>
      <c r="DS39" s="292"/>
      <c r="DT39" s="292"/>
      <c r="DU39" s="292"/>
      <c r="DV39" s="292"/>
      <c r="DW39" s="292"/>
      <c r="DX39" s="292"/>
      <c r="DY39" s="292"/>
      <c r="DZ39" s="292"/>
      <c r="EA39" s="207"/>
      <c r="EB39" s="207"/>
      <c r="EC39" s="292"/>
      <c r="ED39" s="292"/>
      <c r="EE39" s="292"/>
      <c r="EF39" s="292"/>
      <c r="EG39" s="292"/>
      <c r="EH39" s="292"/>
      <c r="EI39" s="292"/>
      <c r="EJ39" s="292"/>
      <c r="EK39" s="292"/>
      <c r="EL39" s="292"/>
      <c r="EM39" s="292"/>
      <c r="EN39" s="207"/>
      <c r="EO39" s="207"/>
      <c r="EP39" s="292"/>
      <c r="EQ39" s="292"/>
      <c r="ER39" s="292"/>
      <c r="ES39" s="292"/>
      <c r="ET39" s="292"/>
      <c r="EU39" s="292"/>
      <c r="EV39" s="292"/>
      <c r="EW39" s="292"/>
      <c r="EX39" s="292"/>
      <c r="EY39" s="292"/>
      <c r="EZ39" s="292"/>
      <c r="FA39" s="207"/>
      <c r="FB39" s="207"/>
      <c r="FC39" s="292"/>
      <c r="FD39" s="292"/>
      <c r="FE39" s="292"/>
      <c r="FF39" s="292"/>
      <c r="FG39" s="292"/>
      <c r="FH39" s="292"/>
      <c r="FI39" s="292"/>
      <c r="FJ39" s="292"/>
      <c r="FK39" s="292"/>
      <c r="FL39" s="292"/>
      <c r="FM39" s="292"/>
      <c r="FN39" s="207"/>
      <c r="FO39" s="207"/>
      <c r="FP39" s="292"/>
      <c r="FQ39" s="292"/>
      <c r="FR39" s="292"/>
      <c r="FS39" s="292"/>
      <c r="FT39" s="292"/>
      <c r="FU39" s="292"/>
      <c r="FV39" s="292"/>
      <c r="FW39" s="292"/>
      <c r="FX39" s="292"/>
      <c r="FY39" s="292"/>
      <c r="FZ39" s="292"/>
      <c r="GA39" s="207"/>
      <c r="GB39" s="207"/>
      <c r="GC39" s="292"/>
      <c r="GD39" s="292"/>
      <c r="GE39" s="292"/>
      <c r="GF39" s="292"/>
      <c r="GG39" s="292"/>
      <c r="GH39" s="292"/>
      <c r="GI39" s="292"/>
      <c r="GJ39" s="292"/>
      <c r="GK39" s="292"/>
      <c r="GL39" s="292"/>
      <c r="GM39" s="292"/>
      <c r="GN39" s="207"/>
      <c r="GO39" s="207"/>
      <c r="GP39" s="292"/>
      <c r="GQ39" s="292"/>
      <c r="GR39" s="292"/>
      <c r="GS39" s="292"/>
      <c r="GT39" s="292"/>
      <c r="GU39" s="292"/>
      <c r="GV39" s="292"/>
      <c r="GW39" s="292"/>
      <c r="GX39" s="292"/>
      <c r="GY39" s="292"/>
      <c r="GZ39" s="292"/>
      <c r="HA39" s="207"/>
      <c r="HB39" s="207"/>
      <c r="HC39" s="292"/>
      <c r="HD39" s="292"/>
      <c r="HE39" s="292"/>
      <c r="HF39" s="292"/>
      <c r="HG39" s="292"/>
      <c r="HH39" s="292"/>
      <c r="HI39" s="292"/>
      <c r="HJ39" s="292"/>
      <c r="HK39" s="292"/>
      <c r="HL39" s="292"/>
      <c r="HM39" s="292"/>
      <c r="HN39" s="207"/>
      <c r="HO39" s="207"/>
      <c r="HP39" s="292"/>
      <c r="HQ39" s="292"/>
      <c r="HR39" s="292"/>
      <c r="HS39" s="292"/>
      <c r="HT39" s="292"/>
      <c r="HU39" s="292"/>
      <c r="HV39" s="292"/>
      <c r="HW39" s="292"/>
      <c r="HX39" s="292"/>
      <c r="HY39" s="292"/>
      <c r="HZ39" s="292"/>
      <c r="IA39" s="207"/>
      <c r="IB39" s="207"/>
      <c r="IC39" s="292"/>
      <c r="ID39" s="292"/>
      <c r="IE39" s="292"/>
      <c r="IF39" s="292"/>
      <c r="IG39" s="292"/>
      <c r="IH39" s="292"/>
      <c r="II39" s="292"/>
      <c r="IJ39" s="292"/>
      <c r="IK39" s="292"/>
      <c r="IL39" s="292"/>
      <c r="IM39" s="292"/>
      <c r="IN39" s="207"/>
      <c r="IO39" s="207"/>
      <c r="IP39" s="292"/>
      <c r="IQ39" s="292"/>
      <c r="IR39" s="292"/>
      <c r="IS39" s="292"/>
      <c r="IT39" s="292"/>
      <c r="IU39" s="292"/>
      <c r="IV39" s="292"/>
    </row>
    <row r="40" spans="1:256" x14ac:dyDescent="0.2">
      <c r="A40" s="218"/>
      <c r="B40" s="219"/>
      <c r="C40" s="287"/>
      <c r="D40" s="287"/>
      <c r="E40" s="287"/>
      <c r="F40" s="287"/>
      <c r="G40" s="287"/>
      <c r="H40" s="287"/>
      <c r="I40" s="287"/>
      <c r="J40" s="287"/>
      <c r="K40" s="287"/>
      <c r="L40" s="287"/>
      <c r="M40" s="288"/>
      <c r="N40" s="211"/>
      <c r="O40" s="211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07"/>
      <c r="AB40" s="207"/>
      <c r="AC40" s="292"/>
      <c r="AD40" s="292"/>
      <c r="AE40" s="292"/>
      <c r="AF40" s="292"/>
      <c r="AG40" s="292"/>
      <c r="AH40" s="292"/>
      <c r="AI40" s="292"/>
      <c r="AJ40" s="292"/>
      <c r="AK40" s="292"/>
      <c r="AL40" s="292"/>
      <c r="AM40" s="292"/>
      <c r="AN40" s="207"/>
      <c r="AO40" s="207"/>
      <c r="AP40" s="292"/>
      <c r="AQ40" s="292"/>
      <c r="AR40" s="292"/>
      <c r="AS40" s="292"/>
      <c r="AT40" s="292"/>
      <c r="AU40" s="292"/>
      <c r="AV40" s="292"/>
      <c r="AW40" s="292"/>
      <c r="AX40" s="292"/>
      <c r="AY40" s="292"/>
      <c r="AZ40" s="292"/>
      <c r="BA40" s="207"/>
      <c r="BB40" s="207"/>
      <c r="BC40" s="292"/>
      <c r="BD40" s="292"/>
      <c r="BE40" s="292"/>
      <c r="BF40" s="292"/>
      <c r="BG40" s="292"/>
      <c r="BH40" s="292"/>
      <c r="BI40" s="292"/>
      <c r="BJ40" s="292"/>
      <c r="BK40" s="292"/>
      <c r="BL40" s="292"/>
      <c r="BM40" s="292"/>
      <c r="BN40" s="207"/>
      <c r="BO40" s="207"/>
      <c r="BP40" s="292"/>
      <c r="BQ40" s="292"/>
      <c r="BR40" s="292"/>
      <c r="BS40" s="292"/>
      <c r="BT40" s="292"/>
      <c r="BU40" s="292"/>
      <c r="BV40" s="292"/>
      <c r="BW40" s="292"/>
      <c r="BX40" s="292"/>
      <c r="BY40" s="292"/>
      <c r="BZ40" s="292"/>
      <c r="CA40" s="207"/>
      <c r="CB40" s="207"/>
      <c r="CC40" s="292"/>
      <c r="CD40" s="292"/>
      <c r="CE40" s="292"/>
      <c r="CF40" s="292"/>
      <c r="CG40" s="292"/>
      <c r="CH40" s="292"/>
      <c r="CI40" s="292"/>
      <c r="CJ40" s="292"/>
      <c r="CK40" s="292"/>
      <c r="CL40" s="292"/>
      <c r="CM40" s="292"/>
      <c r="CN40" s="207"/>
      <c r="CO40" s="207"/>
      <c r="CP40" s="292"/>
      <c r="CQ40" s="292"/>
      <c r="CR40" s="292"/>
      <c r="CS40" s="292"/>
      <c r="CT40" s="292"/>
      <c r="CU40" s="292"/>
      <c r="CV40" s="292"/>
      <c r="CW40" s="292"/>
      <c r="CX40" s="292"/>
      <c r="CY40" s="292"/>
      <c r="CZ40" s="292"/>
      <c r="DA40" s="207"/>
      <c r="DB40" s="207"/>
      <c r="DC40" s="292"/>
      <c r="DD40" s="292"/>
      <c r="DE40" s="292"/>
      <c r="DF40" s="292"/>
      <c r="DG40" s="292"/>
      <c r="DH40" s="292"/>
      <c r="DI40" s="292"/>
      <c r="DJ40" s="292"/>
      <c r="DK40" s="292"/>
      <c r="DL40" s="292"/>
      <c r="DM40" s="292"/>
      <c r="DN40" s="207"/>
      <c r="DO40" s="207"/>
      <c r="DP40" s="292"/>
      <c r="DQ40" s="292"/>
      <c r="DR40" s="292"/>
      <c r="DS40" s="292"/>
      <c r="DT40" s="292"/>
      <c r="DU40" s="292"/>
      <c r="DV40" s="292"/>
      <c r="DW40" s="292"/>
      <c r="DX40" s="292"/>
      <c r="DY40" s="292"/>
      <c r="DZ40" s="292"/>
      <c r="EA40" s="207"/>
      <c r="EB40" s="207"/>
      <c r="EC40" s="292"/>
      <c r="ED40" s="292"/>
      <c r="EE40" s="292"/>
      <c r="EF40" s="292"/>
      <c r="EG40" s="292"/>
      <c r="EH40" s="292"/>
      <c r="EI40" s="292"/>
      <c r="EJ40" s="292"/>
      <c r="EK40" s="292"/>
      <c r="EL40" s="292"/>
      <c r="EM40" s="292"/>
      <c r="EN40" s="207"/>
      <c r="EO40" s="207"/>
      <c r="EP40" s="292"/>
      <c r="EQ40" s="292"/>
      <c r="ER40" s="292"/>
      <c r="ES40" s="292"/>
      <c r="ET40" s="292"/>
      <c r="EU40" s="292"/>
      <c r="EV40" s="292"/>
      <c r="EW40" s="292"/>
      <c r="EX40" s="292"/>
      <c r="EY40" s="292"/>
      <c r="EZ40" s="292"/>
      <c r="FA40" s="207"/>
      <c r="FB40" s="207"/>
      <c r="FC40" s="292"/>
      <c r="FD40" s="292"/>
      <c r="FE40" s="292"/>
      <c r="FF40" s="292"/>
      <c r="FG40" s="292"/>
      <c r="FH40" s="292"/>
      <c r="FI40" s="292"/>
      <c r="FJ40" s="292"/>
      <c r="FK40" s="292"/>
      <c r="FL40" s="292"/>
      <c r="FM40" s="292"/>
      <c r="FN40" s="207"/>
      <c r="FO40" s="207"/>
      <c r="FP40" s="292"/>
      <c r="FQ40" s="292"/>
      <c r="FR40" s="292"/>
      <c r="FS40" s="292"/>
      <c r="FT40" s="292"/>
      <c r="FU40" s="292"/>
      <c r="FV40" s="292"/>
      <c r="FW40" s="292"/>
      <c r="FX40" s="292"/>
      <c r="FY40" s="292"/>
      <c r="FZ40" s="292"/>
      <c r="GA40" s="207"/>
      <c r="GB40" s="207"/>
      <c r="GC40" s="292"/>
      <c r="GD40" s="292"/>
      <c r="GE40" s="292"/>
      <c r="GF40" s="292"/>
      <c r="GG40" s="292"/>
      <c r="GH40" s="292"/>
      <c r="GI40" s="292"/>
      <c r="GJ40" s="292"/>
      <c r="GK40" s="292"/>
      <c r="GL40" s="292"/>
      <c r="GM40" s="292"/>
      <c r="GN40" s="207"/>
      <c r="GO40" s="207"/>
      <c r="GP40" s="292"/>
      <c r="GQ40" s="292"/>
      <c r="GR40" s="292"/>
      <c r="GS40" s="292"/>
      <c r="GT40" s="292"/>
      <c r="GU40" s="292"/>
      <c r="GV40" s="292"/>
      <c r="GW40" s="292"/>
      <c r="GX40" s="292"/>
      <c r="GY40" s="292"/>
      <c r="GZ40" s="292"/>
      <c r="HA40" s="207"/>
      <c r="HB40" s="207"/>
      <c r="HC40" s="292"/>
      <c r="HD40" s="292"/>
      <c r="HE40" s="292"/>
      <c r="HF40" s="292"/>
      <c r="HG40" s="292"/>
      <c r="HH40" s="292"/>
      <c r="HI40" s="292"/>
      <c r="HJ40" s="292"/>
      <c r="HK40" s="292"/>
      <c r="HL40" s="292"/>
      <c r="HM40" s="292"/>
      <c r="HN40" s="207"/>
      <c r="HO40" s="207"/>
      <c r="HP40" s="292"/>
      <c r="HQ40" s="292"/>
      <c r="HR40" s="292"/>
      <c r="HS40" s="292"/>
      <c r="HT40" s="292"/>
      <c r="HU40" s="292"/>
      <c r="HV40" s="292"/>
      <c r="HW40" s="292"/>
      <c r="HX40" s="292"/>
      <c r="HY40" s="292"/>
      <c r="HZ40" s="292"/>
      <c r="IA40" s="207"/>
      <c r="IB40" s="207"/>
      <c r="IC40" s="292"/>
      <c r="ID40" s="292"/>
      <c r="IE40" s="292"/>
      <c r="IF40" s="292"/>
      <c r="IG40" s="292"/>
      <c r="IH40" s="292"/>
      <c r="II40" s="292"/>
      <c r="IJ40" s="292"/>
      <c r="IK40" s="292"/>
      <c r="IL40" s="292"/>
      <c r="IM40" s="292"/>
      <c r="IN40" s="207"/>
      <c r="IO40" s="207"/>
      <c r="IP40" s="292"/>
      <c r="IQ40" s="292"/>
      <c r="IR40" s="292"/>
      <c r="IS40" s="292"/>
      <c r="IT40" s="292"/>
      <c r="IU40" s="292"/>
      <c r="IV40" s="292"/>
    </row>
    <row r="41" spans="1:256" x14ac:dyDescent="0.2">
      <c r="A41" s="218"/>
      <c r="B41" s="219"/>
      <c r="C41" s="287"/>
      <c r="D41" s="287"/>
      <c r="E41" s="287"/>
      <c r="F41" s="287"/>
      <c r="G41" s="287"/>
      <c r="H41" s="287"/>
      <c r="I41" s="287"/>
      <c r="J41" s="287"/>
      <c r="K41" s="287"/>
      <c r="L41" s="287"/>
      <c r="M41" s="288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7"/>
      <c r="D42" s="287"/>
      <c r="E42" s="287"/>
      <c r="F42" s="287"/>
      <c r="G42" s="287"/>
      <c r="H42" s="287"/>
      <c r="I42" s="287"/>
      <c r="J42" s="287"/>
      <c r="K42" s="287"/>
      <c r="L42" s="287"/>
      <c r="M42" s="288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7"/>
      <c r="D43" s="287"/>
      <c r="E43" s="287"/>
      <c r="F43" s="287"/>
      <c r="G43" s="287"/>
      <c r="H43" s="287"/>
      <c r="I43" s="287"/>
      <c r="J43" s="287"/>
      <c r="K43" s="287"/>
      <c r="L43" s="287"/>
      <c r="M43" s="288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7"/>
      <c r="D44" s="287"/>
      <c r="E44" s="287"/>
      <c r="F44" s="287"/>
      <c r="G44" s="287"/>
      <c r="H44" s="287"/>
      <c r="I44" s="287"/>
      <c r="J44" s="287"/>
      <c r="K44" s="287"/>
      <c r="L44" s="287"/>
      <c r="M44" s="288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7"/>
      <c r="D45" s="287"/>
      <c r="E45" s="287"/>
      <c r="F45" s="287"/>
      <c r="G45" s="287"/>
      <c r="H45" s="287"/>
      <c r="I45" s="287"/>
      <c r="J45" s="287"/>
      <c r="K45" s="287"/>
      <c r="L45" s="287"/>
      <c r="M45" s="288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7"/>
      <c r="D46" s="287"/>
      <c r="E46" s="287"/>
      <c r="F46" s="287"/>
      <c r="G46" s="287"/>
      <c r="H46" s="287"/>
      <c r="I46" s="287"/>
      <c r="J46" s="287"/>
      <c r="K46" s="287"/>
      <c r="L46" s="287"/>
      <c r="M46" s="288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7"/>
      <c r="D47" s="287"/>
      <c r="E47" s="287"/>
      <c r="F47" s="287"/>
      <c r="G47" s="287"/>
      <c r="H47" s="287"/>
      <c r="I47" s="287"/>
      <c r="J47" s="287"/>
      <c r="K47" s="287"/>
      <c r="L47" s="287"/>
      <c r="M47" s="288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7"/>
      <c r="D48" s="287"/>
      <c r="E48" s="287"/>
      <c r="F48" s="287"/>
      <c r="G48" s="287"/>
      <c r="H48" s="287"/>
      <c r="I48" s="287"/>
      <c r="J48" s="287"/>
      <c r="K48" s="287"/>
      <c r="L48" s="287"/>
      <c r="M48" s="288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8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M50" s="288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7"/>
      <c r="D51" s="287"/>
      <c r="E51" s="287"/>
      <c r="F51" s="287"/>
      <c r="G51" s="287"/>
      <c r="H51" s="287"/>
      <c r="I51" s="287"/>
      <c r="J51" s="287"/>
      <c r="K51" s="287"/>
      <c r="L51" s="287"/>
      <c r="M51" s="288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7"/>
      <c r="D52" s="287"/>
      <c r="E52" s="287"/>
      <c r="F52" s="287"/>
      <c r="G52" s="287"/>
      <c r="H52" s="287"/>
      <c r="I52" s="287"/>
      <c r="J52" s="287"/>
      <c r="K52" s="287"/>
      <c r="L52" s="287"/>
      <c r="M52" s="288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7"/>
      <c r="D53" s="287"/>
      <c r="E53" s="287"/>
      <c r="F53" s="287"/>
      <c r="G53" s="287"/>
      <c r="H53" s="287"/>
      <c r="I53" s="287"/>
      <c r="J53" s="287"/>
      <c r="K53" s="287"/>
      <c r="L53" s="287"/>
      <c r="M53" s="288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7"/>
      <c r="D54" s="287"/>
      <c r="E54" s="287"/>
      <c r="F54" s="287"/>
      <c r="G54" s="287"/>
      <c r="H54" s="287"/>
      <c r="I54" s="287"/>
      <c r="J54" s="287"/>
      <c r="K54" s="287"/>
      <c r="L54" s="287"/>
      <c r="M54" s="288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7"/>
      <c r="D55" s="287"/>
      <c r="E55" s="287"/>
      <c r="F55" s="287"/>
      <c r="G55" s="287"/>
      <c r="H55" s="287"/>
      <c r="I55" s="287"/>
      <c r="J55" s="287"/>
      <c r="K55" s="287"/>
      <c r="L55" s="287"/>
      <c r="M55" s="288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8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7"/>
      <c r="D57" s="287"/>
      <c r="E57" s="287"/>
      <c r="F57" s="287"/>
      <c r="G57" s="287"/>
      <c r="H57" s="287"/>
      <c r="I57" s="287"/>
      <c r="J57" s="287"/>
      <c r="K57" s="287"/>
      <c r="L57" s="287"/>
      <c r="M57" s="288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7"/>
      <c r="D58" s="287"/>
      <c r="E58" s="287"/>
      <c r="F58" s="287"/>
      <c r="G58" s="287"/>
      <c r="H58" s="287"/>
      <c r="I58" s="287"/>
      <c r="J58" s="287"/>
      <c r="K58" s="287"/>
      <c r="L58" s="287"/>
      <c r="M58" s="288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7"/>
      <c r="D59" s="287"/>
      <c r="E59" s="287"/>
      <c r="F59" s="287"/>
      <c r="G59" s="287"/>
      <c r="H59" s="287"/>
      <c r="I59" s="287"/>
      <c r="J59" s="287"/>
      <c r="K59" s="287"/>
      <c r="L59" s="287"/>
      <c r="M59" s="288"/>
    </row>
    <row r="60" spans="1:256" x14ac:dyDescent="0.2">
      <c r="A60" s="218"/>
      <c r="B60" s="219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256" x14ac:dyDescent="0.2">
      <c r="A61" s="218"/>
      <c r="B61" s="219"/>
      <c r="C61" s="287"/>
      <c r="D61" s="287"/>
      <c r="E61" s="287"/>
      <c r="F61" s="287"/>
      <c r="G61" s="287"/>
      <c r="H61" s="287"/>
      <c r="I61" s="287"/>
      <c r="J61" s="287"/>
      <c r="K61" s="287"/>
      <c r="L61" s="287"/>
      <c r="M61" s="288"/>
    </row>
    <row r="62" spans="1:256" x14ac:dyDescent="0.2">
      <c r="A62" s="218"/>
      <c r="B62" s="219"/>
      <c r="C62" s="287"/>
      <c r="D62" s="287"/>
      <c r="E62" s="287"/>
      <c r="F62" s="287"/>
      <c r="G62" s="287"/>
      <c r="H62" s="287"/>
      <c r="I62" s="287"/>
      <c r="J62" s="287"/>
      <c r="K62" s="287"/>
      <c r="L62" s="287"/>
      <c r="M62" s="288"/>
    </row>
    <row r="63" spans="1:256" x14ac:dyDescent="0.2">
      <c r="A63" s="218"/>
      <c r="B63" s="219"/>
      <c r="C63" s="287"/>
      <c r="D63" s="287"/>
      <c r="E63" s="287"/>
      <c r="F63" s="287"/>
      <c r="G63" s="287"/>
      <c r="H63" s="287"/>
      <c r="I63" s="287"/>
      <c r="J63" s="287"/>
      <c r="K63" s="287"/>
      <c r="L63" s="287"/>
      <c r="M63" s="288"/>
    </row>
    <row r="64" spans="1:256" x14ac:dyDescent="0.2">
      <c r="A64" s="218"/>
      <c r="B64" s="219"/>
      <c r="C64" s="287"/>
      <c r="D64" s="287"/>
      <c r="E64" s="287"/>
      <c r="F64" s="287"/>
      <c r="G64" s="287"/>
      <c r="H64" s="287"/>
      <c r="I64" s="287"/>
      <c r="J64" s="287"/>
      <c r="K64" s="287"/>
      <c r="L64" s="287"/>
      <c r="M64" s="288"/>
    </row>
    <row r="65" spans="1:13" x14ac:dyDescent="0.2">
      <c r="A65" s="218"/>
      <c r="B65" s="219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8"/>
    </row>
    <row r="66" spans="1:13" x14ac:dyDescent="0.2">
      <c r="A66" s="218"/>
      <c r="B66" s="219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x14ac:dyDescent="0.2">
      <c r="A67" s="218"/>
      <c r="B67" s="219"/>
      <c r="C67" s="287"/>
      <c r="D67" s="287"/>
      <c r="E67" s="287"/>
      <c r="F67" s="287"/>
      <c r="G67" s="287"/>
      <c r="H67" s="287"/>
      <c r="I67" s="287"/>
      <c r="J67" s="287"/>
      <c r="K67" s="287"/>
      <c r="L67" s="287"/>
      <c r="M67" s="288"/>
    </row>
    <row r="68" spans="1:13" x14ac:dyDescent="0.2">
      <c r="A68" s="218"/>
      <c r="B68" s="219"/>
      <c r="C68" s="287"/>
      <c r="D68" s="287"/>
      <c r="E68" s="287"/>
      <c r="F68" s="287"/>
      <c r="G68" s="287"/>
      <c r="H68" s="287"/>
      <c r="I68" s="287"/>
      <c r="J68" s="287"/>
      <c r="K68" s="287"/>
      <c r="L68" s="287"/>
      <c r="M68" s="288"/>
    </row>
    <row r="69" spans="1:13" x14ac:dyDescent="0.2">
      <c r="A69" s="218"/>
      <c r="B69" s="219"/>
      <c r="C69" s="287"/>
      <c r="D69" s="287"/>
      <c r="E69" s="287"/>
      <c r="F69" s="287"/>
      <c r="G69" s="287"/>
      <c r="H69" s="287"/>
      <c r="I69" s="287"/>
      <c r="J69" s="287"/>
      <c r="K69" s="287"/>
      <c r="L69" s="287"/>
      <c r="M69" s="288"/>
    </row>
    <row r="70" spans="1:13" ht="12" thickBot="1" x14ac:dyDescent="0.25">
      <c r="A70" s="220"/>
      <c r="B70" s="221"/>
      <c r="C70" s="289"/>
      <c r="D70" s="289"/>
      <c r="E70" s="289"/>
      <c r="F70" s="289"/>
      <c r="G70" s="289"/>
      <c r="H70" s="289"/>
      <c r="I70" s="289"/>
      <c r="J70" s="289"/>
      <c r="K70" s="289"/>
      <c r="L70" s="289"/>
      <c r="M70" s="29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1" t="s">
        <v>847</v>
      </c>
      <c r="B72" s="291"/>
      <c r="C72" s="291"/>
      <c r="D72" s="291"/>
      <c r="E72" s="29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6"/>
      <c r="D73" s="286"/>
      <c r="E73" s="286"/>
      <c r="F73" s="286"/>
      <c r="G73" s="286"/>
      <c r="H73" s="286"/>
      <c r="I73" s="286"/>
      <c r="J73" s="286"/>
      <c r="K73" s="286"/>
      <c r="L73" s="286"/>
      <c r="M73" s="286"/>
    </row>
    <row r="74" spans="1:13" x14ac:dyDescent="0.2">
      <c r="A74" s="211"/>
      <c r="B74" s="211"/>
      <c r="C74" s="286"/>
      <c r="D74" s="286"/>
      <c r="E74" s="286"/>
      <c r="F74" s="286"/>
      <c r="G74" s="286"/>
      <c r="H74" s="286"/>
      <c r="I74" s="286"/>
      <c r="J74" s="286"/>
      <c r="K74" s="286"/>
      <c r="L74" s="286"/>
      <c r="M74" s="286"/>
    </row>
    <row r="75" spans="1:13" x14ac:dyDescent="0.2">
      <c r="A75" s="211"/>
      <c r="B75" s="211"/>
      <c r="C75" s="286"/>
      <c r="D75" s="286"/>
      <c r="E75" s="286"/>
      <c r="F75" s="286"/>
      <c r="G75" s="286"/>
      <c r="H75" s="286"/>
      <c r="I75" s="286"/>
      <c r="J75" s="286"/>
      <c r="K75" s="286"/>
      <c r="L75" s="286"/>
      <c r="M75" s="286"/>
    </row>
    <row r="76" spans="1:13" x14ac:dyDescent="0.2">
      <c r="A76" s="211"/>
      <c r="B76" s="211"/>
      <c r="C76" s="286"/>
      <c r="D76" s="286"/>
      <c r="E76" s="286"/>
      <c r="F76" s="286"/>
      <c r="G76" s="286"/>
      <c r="H76" s="286"/>
      <c r="I76" s="286"/>
      <c r="J76" s="286"/>
      <c r="K76" s="286"/>
      <c r="L76" s="286"/>
      <c r="M76" s="286"/>
    </row>
    <row r="77" spans="1:13" x14ac:dyDescent="0.2">
      <c r="A77" s="211"/>
      <c r="B77" s="211"/>
      <c r="C77" s="286"/>
      <c r="D77" s="286"/>
      <c r="E77" s="286"/>
      <c r="F77" s="286"/>
      <c r="G77" s="286"/>
      <c r="H77" s="286"/>
      <c r="I77" s="286"/>
      <c r="J77" s="286"/>
      <c r="K77" s="286"/>
      <c r="L77" s="286"/>
      <c r="M77" s="286"/>
    </row>
    <row r="78" spans="1:13" x14ac:dyDescent="0.2">
      <c r="A78" s="211"/>
      <c r="B78" s="211"/>
      <c r="C78" s="286"/>
      <c r="D78" s="286"/>
      <c r="E78" s="286"/>
      <c r="F78" s="286"/>
      <c r="G78" s="286"/>
      <c r="H78" s="286"/>
      <c r="I78" s="286"/>
      <c r="J78" s="286"/>
      <c r="K78" s="286"/>
      <c r="L78" s="286"/>
      <c r="M78" s="286"/>
    </row>
    <row r="79" spans="1:13" x14ac:dyDescent="0.2">
      <c r="A79" s="211"/>
      <c r="B79" s="211"/>
      <c r="C79" s="286"/>
      <c r="D79" s="286"/>
      <c r="E79" s="286"/>
      <c r="F79" s="286"/>
      <c r="G79" s="286"/>
      <c r="H79" s="286"/>
      <c r="I79" s="286"/>
      <c r="J79" s="286"/>
      <c r="K79" s="286"/>
      <c r="L79" s="286"/>
      <c r="M79" s="286"/>
    </row>
    <row r="80" spans="1:13" x14ac:dyDescent="0.2">
      <c r="A80" s="211"/>
      <c r="B80" s="211"/>
      <c r="C80" s="286"/>
      <c r="D80" s="286"/>
      <c r="E80" s="286"/>
      <c r="F80" s="286"/>
      <c r="G80" s="286"/>
      <c r="H80" s="286"/>
      <c r="I80" s="286"/>
      <c r="J80" s="286"/>
      <c r="K80" s="286"/>
      <c r="L80" s="286"/>
      <c r="M80" s="286"/>
    </row>
    <row r="81" spans="1:13" x14ac:dyDescent="0.2">
      <c r="A81" s="211"/>
      <c r="B81" s="211"/>
      <c r="C81" s="286"/>
      <c r="D81" s="286"/>
      <c r="E81" s="286"/>
      <c r="F81" s="286"/>
      <c r="G81" s="286"/>
      <c r="H81" s="286"/>
      <c r="I81" s="286"/>
      <c r="J81" s="286"/>
      <c r="K81" s="286"/>
      <c r="L81" s="286"/>
      <c r="M81" s="286"/>
    </row>
    <row r="82" spans="1:13" x14ac:dyDescent="0.2">
      <c r="A82" s="211"/>
      <c r="B82" s="211"/>
      <c r="C82" s="286"/>
      <c r="D82" s="286"/>
      <c r="E82" s="286"/>
      <c r="F82" s="286"/>
      <c r="G82" s="286"/>
      <c r="H82" s="286"/>
      <c r="I82" s="286"/>
      <c r="J82" s="286"/>
      <c r="K82" s="286"/>
      <c r="L82" s="286"/>
      <c r="M82" s="286"/>
    </row>
    <row r="83" spans="1:13" x14ac:dyDescent="0.2">
      <c r="A83" s="211"/>
      <c r="B83" s="211"/>
      <c r="C83" s="286"/>
      <c r="D83" s="286"/>
      <c r="E83" s="286"/>
      <c r="F83" s="286"/>
      <c r="G83" s="286"/>
      <c r="H83" s="286"/>
      <c r="I83" s="286"/>
      <c r="J83" s="286"/>
      <c r="K83" s="286"/>
      <c r="L83" s="286"/>
      <c r="M83" s="286"/>
    </row>
    <row r="84" spans="1:13" x14ac:dyDescent="0.2">
      <c r="A84" s="211"/>
      <c r="B84" s="211"/>
      <c r="C84" s="286"/>
      <c r="D84" s="286"/>
      <c r="E84" s="286"/>
      <c r="F84" s="286"/>
      <c r="G84" s="286"/>
      <c r="H84" s="286"/>
      <c r="I84" s="286"/>
      <c r="J84" s="286"/>
      <c r="K84" s="286"/>
      <c r="L84" s="286"/>
      <c r="M84" s="286"/>
    </row>
    <row r="85" spans="1:13" x14ac:dyDescent="0.2">
      <c r="A85" s="211"/>
      <c r="B85" s="211"/>
      <c r="C85" s="286"/>
      <c r="D85" s="286"/>
      <c r="E85" s="286"/>
      <c r="F85" s="286"/>
      <c r="G85" s="286"/>
      <c r="H85" s="286"/>
      <c r="I85" s="286"/>
      <c r="J85" s="286"/>
      <c r="K85" s="286"/>
      <c r="L85" s="286"/>
      <c r="M85" s="286"/>
    </row>
    <row r="86" spans="1:13" x14ac:dyDescent="0.2">
      <c r="A86" s="211"/>
      <c r="B86" s="211"/>
      <c r="C86" s="286"/>
      <c r="D86" s="286"/>
      <c r="E86" s="286"/>
      <c r="F86" s="286"/>
      <c r="G86" s="286"/>
      <c r="H86" s="286"/>
      <c r="I86" s="286"/>
      <c r="J86" s="286"/>
      <c r="K86" s="286"/>
      <c r="L86" s="286"/>
      <c r="M86" s="286"/>
    </row>
    <row r="87" spans="1:13" x14ac:dyDescent="0.2">
      <c r="A87" s="211"/>
      <c r="B87" s="211"/>
      <c r="C87" s="286"/>
      <c r="D87" s="286"/>
      <c r="E87" s="286"/>
      <c r="F87" s="286"/>
      <c r="G87" s="286"/>
      <c r="H87" s="286"/>
      <c r="I87" s="286"/>
      <c r="J87" s="286"/>
      <c r="K87" s="286"/>
      <c r="L87" s="286"/>
      <c r="M87" s="286"/>
    </row>
    <row r="88" spans="1:13" x14ac:dyDescent="0.2">
      <c r="A88" s="211"/>
      <c r="B88" s="211"/>
      <c r="C88" s="286"/>
      <c r="D88" s="286"/>
      <c r="E88" s="286"/>
      <c r="F88" s="286"/>
      <c r="G88" s="286"/>
      <c r="H88" s="286"/>
      <c r="I88" s="286"/>
      <c r="J88" s="286"/>
      <c r="K88" s="286"/>
      <c r="L88" s="286"/>
      <c r="M88" s="286"/>
    </row>
    <row r="89" spans="1:13" x14ac:dyDescent="0.2">
      <c r="A89" s="211"/>
      <c r="B89" s="211"/>
      <c r="C89" s="286"/>
      <c r="D89" s="286"/>
      <c r="E89" s="286"/>
      <c r="F89" s="286"/>
      <c r="G89" s="286"/>
      <c r="H89" s="286"/>
      <c r="I89" s="286"/>
      <c r="J89" s="286"/>
      <c r="K89" s="286"/>
      <c r="L89" s="286"/>
      <c r="M89" s="286"/>
    </row>
    <row r="90" spans="1:13" x14ac:dyDescent="0.2">
      <c r="A90" s="211"/>
      <c r="B90" s="211"/>
      <c r="C90" s="286"/>
      <c r="D90" s="286"/>
      <c r="E90" s="286"/>
      <c r="F90" s="286"/>
      <c r="G90" s="286"/>
      <c r="H90" s="286"/>
      <c r="I90" s="286"/>
      <c r="J90" s="286"/>
      <c r="K90" s="286"/>
      <c r="L90" s="286"/>
      <c r="M90" s="286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2017-10-03T13:15:53Z</cp:lastPrinted>
  <dcterms:created xsi:type="dcterms:W3CDTF">1997-12-04T19:04:30Z</dcterms:created>
  <dcterms:modified xsi:type="dcterms:W3CDTF">2017-11-29T18:01:49Z</dcterms:modified>
</cp:coreProperties>
</file>