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" yWindow="120" windowWidth="10680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E120" i="2" s="1"/>
  <c r="L284" i="1"/>
  <c r="L285" i="1"/>
  <c r="L286" i="1"/>
  <c r="L287" i="1"/>
  <c r="C21" i="10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6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L270" i="1"/>
  <c r="F290" i="1"/>
  <c r="F338" i="1" s="1"/>
  <c r="F352" i="1" s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640" i="1" s="1"/>
  <c r="J640" i="1" s="1"/>
  <c r="H461" i="1"/>
  <c r="I461" i="1"/>
  <c r="H642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K257" i="1"/>
  <c r="K271" i="1" s="1"/>
  <c r="G164" i="2"/>
  <c r="C18" i="2"/>
  <c r="C26" i="10"/>
  <c r="L328" i="1"/>
  <c r="H660" i="1" s="1"/>
  <c r="L351" i="1"/>
  <c r="L290" i="1"/>
  <c r="A31" i="1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F78" i="2"/>
  <c r="F81" i="2" s="1"/>
  <c r="D31" i="2"/>
  <c r="C78" i="2"/>
  <c r="D50" i="2"/>
  <c r="G157" i="2"/>
  <c r="F18" i="2"/>
  <c r="G161" i="2"/>
  <c r="G156" i="2"/>
  <c r="E103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I169" i="1"/>
  <c r="H169" i="1"/>
  <c r="G552" i="1"/>
  <c r="J643" i="1"/>
  <c r="J476" i="1"/>
  <c r="H626" i="1" s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F169" i="1"/>
  <c r="J140" i="1"/>
  <c r="F571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A13" i="12"/>
  <c r="F22" i="13"/>
  <c r="C22" i="13" s="1"/>
  <c r="H25" i="13"/>
  <c r="C25" i="13" s="1"/>
  <c r="J651" i="1"/>
  <c r="J634" i="1"/>
  <c r="H571" i="1"/>
  <c r="L560" i="1"/>
  <c r="G192" i="1"/>
  <c r="H192" i="1"/>
  <c r="F552" i="1"/>
  <c r="C35" i="10"/>
  <c r="L309" i="1"/>
  <c r="D5" i="13"/>
  <c r="C5" i="13" s="1"/>
  <c r="E16" i="13"/>
  <c r="J655" i="1"/>
  <c r="J645" i="1"/>
  <c r="L570" i="1"/>
  <c r="I571" i="1"/>
  <c r="J636" i="1"/>
  <c r="G36" i="2"/>
  <c r="G545" i="1"/>
  <c r="H545" i="1"/>
  <c r="K551" i="1"/>
  <c r="C138" i="2"/>
  <c r="C16" i="13"/>
  <c r="H33" i="13"/>
  <c r="C70" i="2" l="1"/>
  <c r="K598" i="1"/>
  <c r="G647" i="1" s="1"/>
  <c r="J647" i="1" s="1"/>
  <c r="I545" i="1"/>
  <c r="L529" i="1"/>
  <c r="L545" i="1" s="1"/>
  <c r="K552" i="1"/>
  <c r="G661" i="1"/>
  <c r="L362" i="1"/>
  <c r="H664" i="1"/>
  <c r="D145" i="2"/>
  <c r="F661" i="1"/>
  <c r="I661" i="1" s="1"/>
  <c r="D29" i="13"/>
  <c r="C29" i="13" s="1"/>
  <c r="D127" i="2"/>
  <c r="D128" i="2" s="1"/>
  <c r="F662" i="1"/>
  <c r="I662" i="1" s="1"/>
  <c r="C19" i="10"/>
  <c r="E128" i="2"/>
  <c r="K338" i="1"/>
  <c r="K352" i="1" s="1"/>
  <c r="C17" i="10"/>
  <c r="C15" i="10"/>
  <c r="E110" i="2"/>
  <c r="E115" i="2" s="1"/>
  <c r="C10" i="10"/>
  <c r="H257" i="1"/>
  <c r="H271" i="1" s="1"/>
  <c r="I257" i="1"/>
  <c r="I271" i="1" s="1"/>
  <c r="F257" i="1"/>
  <c r="F271" i="1" s="1"/>
  <c r="C121" i="2"/>
  <c r="C120" i="2"/>
  <c r="E33" i="13"/>
  <c r="D35" i="13" s="1"/>
  <c r="C118" i="2"/>
  <c r="C115" i="2"/>
  <c r="L211" i="1"/>
  <c r="F660" i="1" s="1"/>
  <c r="C91" i="2"/>
  <c r="C81" i="2"/>
  <c r="C62" i="2"/>
  <c r="C63" i="2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G664" i="1" l="1"/>
  <c r="E145" i="2"/>
  <c r="C28" i="10"/>
  <c r="D23" i="10" s="1"/>
  <c r="C128" i="2"/>
  <c r="C145" i="2" s="1"/>
  <c r="F664" i="1"/>
  <c r="I660" i="1"/>
  <c r="I664" i="1" s="1"/>
  <c r="I672" i="1" s="1"/>
  <c r="C7" i="10" s="1"/>
  <c r="L257" i="1"/>
  <c r="L271" i="1" s="1"/>
  <c r="G632" i="1" s="1"/>
  <c r="J632" i="1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G672" i="1"/>
  <c r="C5" i="10" s="1"/>
  <c r="D20" i="10"/>
  <c r="D13" i="10"/>
  <c r="D25" i="10"/>
  <c r="D21" i="10"/>
  <c r="D15" i="10"/>
  <c r="D19" i="10"/>
  <c r="D11" i="10"/>
  <c r="D22" i="10"/>
  <c r="D27" i="10"/>
  <c r="D18" i="10"/>
  <c r="D17" i="10"/>
  <c r="D12" i="10"/>
  <c r="D24" i="10"/>
  <c r="D10" i="10"/>
  <c r="D26" i="10"/>
  <c r="C30" i="10"/>
  <c r="D16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F123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<sst xmlns="http://schemas.openxmlformats.org/spreadsheetml/2006/main" count="3955" uniqueCount="913">
  <si>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</si>
  <si>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</si>
  <si>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</si>
  <si>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</si>
  <si>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</si>
  <si>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</si>
  <si>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</si>
  <si>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</si>
  <si>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</si>
  <si>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</si>
  <si>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</si>
  <si>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</si>
  <si>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</si>
  <si>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</si>
  <si>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</si>
  <si>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</si>
  <si>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</si>
  <si>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</si>
  <si>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</si>
  <si>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</si>
  <si>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</si>
  <si>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</si>
  <si>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</si>
  <si>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</si>
  <si>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</si>
  <si>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</si>
  <si>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</si>
  <si>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</si>
  <si>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</si>
  <si>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</si>
  <si>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</si>
  <si>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</si>
  <si>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</si>
  <si>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</si>
  <si>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</si>
  <si>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</si>
  <si>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</si>
  <si>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</si>
  <si>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</si>
  <si>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</si>
  <si>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</si>
  <si>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</si>
  <si>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</si>
  <si>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</si>
  <si>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</si>
  <si>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</si>
  <si>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</si>
  <si>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</si>
  <si>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</si>
  <si>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</si>
  <si>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</si>
  <si>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</si>
  <si>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</si>
  <si>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</si>
  <si>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</si>
  <si>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</si>
  <si>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</si>
  <si>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</si>
  <si>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</si>
  <si>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</si>
  <si>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</si>
  <si>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</si>
  <si>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</si>
  <si>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</si>
  <si>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</si>
  <si>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</si>
  <si>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</si>
  <si>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</si>
  <si>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</si>
  <si>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</si>
  <si>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</si>
  <si>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</si>
  <si>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</si>
  <si>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</si>
  <si>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</si>
  <si>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</si>
  <si>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</si>
  <si>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</si>
  <si>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</si>
  <si>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</si>
  <si>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</si>
  <si>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</si>
  <si>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</si>
  <si>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</si>
  <si>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</si>
  <si>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</si>
  <si>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</si>
  <si>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</si>
  <si>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</si>
  <si>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</si>
  <si>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</si>
  <si>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</si>
  <si>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</si>
  <si>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</si>
  <si>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</si>
  <si>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</si>
  <si>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</si>
  <si>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</si>
  <si>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</si>
  <si>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</si>
  <si>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</si>
  <si>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</si>
  <si>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</si>
  <si>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</si>
  <si>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</si>
  <si>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</si>
  <si>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</si>
  <si>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</si>
  <si>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</si>
  <si>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</si>
  <si>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</si>
  <si>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</si>
  <si>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</si>
  <si>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</si>
  <si>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</si>
  <si>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</si>
  <si>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</si>
  <si>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</si>
  <si>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</si>
  <si>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</si>
  <si>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</si>
  <si>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</si>
  <si>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</si>
  <si>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</si>
  <si>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</si>
  <si>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</si>
  <si>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</si>
  <si>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</si>
  <si>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</si>
  <si>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</si>
  <si>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</si>
  <si>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</si>
  <si>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</si>
  <si>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</si>
  <si>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</si>
  <si>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</si>
  <si>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</si>
  <si>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</si>
  <si>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</si>
  <si>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</si>
  <si>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</si>
  <si>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</si>
  <si>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</si>
  <si>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</si>
  <si>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</si>
  <si>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</si>
  <si>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</si>
  <si>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</si>
  <si>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</si>
  <si>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</si>
  <si>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</si>
  <si>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</si>
  <si>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</si>
  <si>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</si>
  <si>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</si>
  <si>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</si>
  <si>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</si>
  <si>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</si>
  <si>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</si>
  <si>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</si>
  <si>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</si>
  <si>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</si>
  <si>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</si>
  <si>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</si>
  <si>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</si>
  <si>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</si>
  <si>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</si>
  <si>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</si>
  <si>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</si>
  <si>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</si>
  <si>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</si>
  <si>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</si>
  <si>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</si>
  <si>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</si>
  <si>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</si>
  <si>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</si>
  <si>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</si>
  <si>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</si>
  <si>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</si>
  <si>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</si>
  <si>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</si>
  <si>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</si>
  <si>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</si>
  <si>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</si>
  <si>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</si>
  <si>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</si>
  <si>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</si>
  <si>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</si>
  <si>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</si>
  <si>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</si>
  <si>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</si>
  <si>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</si>
  <si>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</si>
  <si>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</si>
  <si>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</si>
  <si>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</si>
  <si>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</si>
  <si>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</si>
  <si>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</si>
  <si>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</si>
  <si>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</si>
  <si>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</si>
  <si>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</si>
  <si>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</si>
  <si>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</si>
  <si>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</si>
  <si>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</si>
  <si>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</si>
  <si>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</si>
  <si>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</si>
  <si>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</si>
  <si>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</si>
  <si>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</si>
  <si>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</si>
  <si>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</si>
  <si>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</si>
  <si>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</si>
  <si>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</si>
  <si>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</si>
  <si>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</si>
  <si>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</si>
  <si>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</si>
  <si>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</si>
  <si>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</si>
  <si>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</si>
  <si>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</si>
  <si>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</si>
  <si>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</si>
  <si>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</si>
  <si>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</si>
  <si>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</si>
  <si>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</si>
  <si>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</si>
  <si>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</si>
  <si>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</si>
  <si>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</si>
  <si>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</si>
  <si>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</si>
  <si>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</si>
  <si>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</si>
  <si>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</si>
  <si>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</si>
  <si>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</si>
  <si>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</si>
  <si>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</si>
  <si>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</si>
  <si>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</si>
  <si>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</si>
  <si>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</si>
  <si>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</si>
  <si>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</si>
  <si>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</si>
  <si>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</si>
  <si>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</si>
  <si>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</si>
  <si>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</si>
  <si>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</si>
  <si>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</si>
  <si>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</si>
  <si>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</si>
  <si>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</si>
  <si>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</si>
  <si>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</si>
  <si>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</si>
  <si>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</si>
  <si>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</si>
  <si>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</si>
  <si>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</si>
  <si>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</si>
  <si>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</si>
  <si>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</si>
  <si>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</si>
  <si>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</si>
  <si>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</si>
  <si>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</si>
  <si>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</si>
  <si>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</si>
  <si>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</si>
  <si>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</si>
  <si>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</si>
  <si>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</si>
  <si>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</si>
  <si>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</si>
  <si>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</si>
  <si>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</si>
  <si>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</si>
  <si>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</si>
  <si>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</si>
  <si>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</si>
  <si>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</si>
  <si>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</si>
  <si>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</si>
  <si>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</si>
  <si>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</si>
  <si>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</si>
  <si>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</si>
  <si>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</si>
  <si>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</si>
  <si>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</si>
  <si>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</si>
  <si>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</si>
  <si>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</si>
  <si>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</si>
  <si>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</si>
  <si>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</si>
  <si>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</si>
  <si>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</si>
  <si>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</si>
  <si>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</si>
  <si>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</si>
  <si>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</si>
  <si>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</si>
  <si>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</si>
  <si>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</si>
  <si>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</si>
  <si>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</si>
  <si>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</si>
  <si>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</si>
  <si>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</si>
  <si>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</si>
  <si>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</si>
  <si>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</si>
  <si>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</si>
  <si>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</si>
  <si>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</si>
  <si>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</si>
  <si>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</si>
  <si>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</si>
  <si>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</si>
  <si>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</si>
  <si>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</si>
  <si>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</si>
  <si>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</si>
  <si>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</si>
  <si>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</si>
  <si>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</si>
  <si>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</si>
  <si>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</si>
  <si>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</si>
  <si>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</si>
  <si>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</si>
  <si>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</si>
  <si>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</si>
  <si>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</si>
  <si>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</si>
  <si>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</si>
  <si>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</si>
  <si>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</si>
  <si>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</si>
  <si>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</si>
  <si>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</si>
  <si>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</si>
  <si>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</si>
  <si>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</si>
  <si>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</si>
  <si>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</si>
  <si>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</si>
  <si>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</si>
  <si>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</si>
  <si>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</si>
  <si>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</si>
  <si>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</si>
  <si>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</si>
  <si>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</si>
  <si>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</si>
  <si>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</si>
  <si>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</si>
  <si>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</si>
  <si>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</si>
  <si>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</si>
  <si>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</si>
  <si>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</si>
  <si>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</si>
  <si>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</si>
  <si>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</si>
  <si>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</si>
  <si>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</si>
  <si>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</si>
  <si>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</si>
  <si>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</si>
  <si>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</si>
  <si>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</si>
  <si>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</si>
  <si>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</si>
  <si>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</si>
  <si>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</si>
  <si>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</si>
  <si>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</si>
  <si>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</si>
  <si>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</si>
  <si>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</si>
  <si>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</si>
  <si>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</si>
  <si>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</si>
  <si>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</si>
  <si>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</si>
  <si>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</si>
  <si>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</si>
  <si>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</si>
  <si>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</si>
  <si>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</si>
  <si>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</si>
  <si>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</si>
  <si>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</si>
  <si>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</si>
  <si>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</si>
  <si>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</si>
  <si>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</si>
  <si>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</si>
  <si>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</si>
  <si>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</si>
  <si>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</si>
  <si>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</si>
  <si>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</si>
  <si>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</si>
  <si>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</si>
  <si>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</si>
  <si>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</si>
  <si>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</si>
  <si>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</si>
  <si>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</si>
  <si>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</si>
  <si>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</si>
  <si>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</si>
  <si>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</si>
  <si>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</si>
  <si>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</si>
  <si>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</si>
  <si>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</si>
  <si>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</si>
  <si>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</si>
  <si>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</si>
  <si>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</si>
  <si>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</si>
  <si>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</si>
  <si>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</si>
  <si>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</si>
  <si>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</si>
  <si>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</si>
  <si>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</si>
  <si>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</si>
  <si>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</si>
  <si>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</si>
  <si>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</si>
  <si>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</si>
  <si>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</si>
  <si>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</si>
  <si>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</si>
  <si>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</si>
  <si>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</si>
  <si>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</si>
  <si>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</si>
  <si>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</si>
  <si>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</si>
  <si>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</si>
  <si>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</si>
  <si>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</si>
  <si>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</si>
  <si>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</si>
  <si>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</si>
  <si>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</si>
  <si>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</si>
  <si>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</si>
  <si>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</si>
  <si>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</si>
  <si>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</si>
  <si>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</si>
  <si>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</si>
  <si>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</si>
  <si>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</si>
  <si>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</si>
  <si>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</si>
  <si>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</si>
  <si>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</si>
  <si>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</si>
  <si>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</si>
  <si>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</si>
  <si>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</si>
  <si>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</si>
  <si>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</si>
  <si>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</si>
  <si>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</si>
  <si>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</si>
  <si>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</si>
  <si>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</si>
  <si>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</si>
  <si>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</si>
  <si>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</si>
  <si>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</si>
  <si>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</si>
  <si>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</si>
  <si>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</si>
  <si>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</si>
  <si>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</si>
  <si>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</si>
  <si>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</si>
  <si>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</si>
  <si>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</si>
  <si>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</si>
  <si>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</si>
  <si>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</si>
  <si>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</si>
  <si>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</si>
  <si>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</si>
  <si>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</si>
  <si>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</si>
  <si>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</si>
  <si>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</si>
  <si>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</si>
  <si>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</si>
  <si>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</si>
  <si>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</si>
  <si>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</si>
  <si>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</si>
  <si>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</si>
  <si>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</si>
  <si>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</si>
  <si>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</si>
  <si>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</si>
  <si>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</si>
  <si>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</si>
  <si>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</si>
  <si>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</si>
  <si>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</si>
  <si>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</si>
  <si>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</si>
  <si>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</si>
  <si>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</si>
  <si>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</si>
  <si>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</si>
  <si>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</si>
  <si>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</si>
  <si>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</si>
  <si>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</si>
  <si>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</si>
  <si>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</si>
  <si>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</si>
  <si>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</si>
  <si>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</si>
  <si>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</si>
  <si>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</si>
  <si>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</si>
  <si>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</si>
  <si>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</si>
  <si>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</si>
  <si>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</si>
  <si>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</si>
  <si>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</si>
  <si>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</si>
  <si>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</si>
  <si>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</si>
  <si>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</si>
  <si>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</si>
  <si>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</si>
  <si>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</si>
  <si>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</si>
  <si>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</si>
  <si>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</si>
  <si>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</si>
  <si>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</si>
  <si>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</si>
  <si>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</si>
  <si>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</si>
  <si>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</si>
  <si>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</si>
  <si>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</si>
  <si>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</si>
  <si>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</si>
  <si>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</si>
  <si>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</si>
  <si>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</si>
  <si>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</si>
  <si>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</si>
  <si>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</si>
  <si>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</si>
  <si>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</si>
  <si>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</si>
  <si>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</si>
  <si>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</si>
  <si>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</si>
  <si>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</si>
  <si>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</si>
  <si>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</si>
  <si>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</si>
  <si>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</si>
  <si>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</si>
  <si>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</si>
  <si>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</si>
  <si>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</si>
  <si>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</si>
  <si>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</si>
  <si>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</si>
  <si>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</si>
  <si>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</si>
  <si>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</si>
  <si>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</si>
  <si>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</si>
  <si>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</si>
  <si>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</si>
  <si>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</si>
  <si>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</si>
  <si>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</si>
  <si>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</si>
  <si>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</si>
  <si>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</si>
  <si>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</si>
  <si>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</si>
  <si>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</si>
  <si>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</si>
  <si>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</si>
  <si>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</si>
  <si>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</si>
  <si>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</si>
  <si>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</si>
  <si>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</si>
  <si>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</si>
  <si>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</si>
  <si>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</si>
  <si>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</si>
  <si>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</si>
  <si>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</si>
  <si>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</si>
  <si>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</si>
  <si>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</si>
  <si>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</si>
  <si>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</si>
  <si>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</si>
  <si>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</si>
  <si>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</si>
  <si>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</si>
  <si>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</si>
  <si>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</si>
  <si>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</si>
  <si>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</si>
  <si>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</si>
  <si>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</si>
  <si>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</si>
  <si>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</si>
  <si>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</si>
  <si>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</si>
  <si>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</si>
  <si>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</si>
  <si>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</si>
  <si>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</si>
  <si>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</si>
  <si>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</si>
  <si>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</si>
  <si>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</si>
  <si>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</si>
  <si>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</si>
  <si>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</si>
  <si>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</si>
  <si>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</si>
  <si>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</si>
  <si>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</si>
  <si>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</si>
  <si>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</si>
  <si>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</si>
  <si>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</si>
  <si>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</si>
  <si>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</si>
  <si>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</si>
  <si>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</si>
  <si>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</si>
  <si>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</si>
  <si>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</si>
  <si>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</si>
  <si>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</si>
  <si>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</si>
  <si>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</si>
  <si>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</si>
  <si>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</si>
  <si>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</si>
  <si>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</si>
  <si>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</si>
  <si>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</si>
  <si>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</si>
  <si>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</si>
  <si>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</si>
  <si>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</si>
  <si>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</si>
  <si>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</si>
  <si>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</si>
  <si>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</si>
  <si>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</si>
  <si>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</si>
  <si>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</si>
  <si>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</si>
  <si>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</si>
  <si>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</si>
  <si>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</si>
  <si>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</si>
  <si>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</si>
  <si>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</si>
  <si>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</si>
  <si>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</si>
  <si>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</si>
  <si>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</si>
  <si>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</si>
  <si>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</si>
  <si>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</si>
  <si>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</si>
  <si>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</si>
  <si>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</si>
  <si>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</si>
  <si>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</si>
  <si>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</si>
  <si>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</si>
  <si>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</si>
  <si>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</si>
  <si>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</si>
  <si>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</si>
  <si>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</si>
  <si>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</si>
  <si>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</si>
  <si>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</si>
  <si>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</si>
  <si>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</si>
  <si>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</si>
  <si>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</si>
  <si>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</si>
  <si>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</si>
  <si>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</si>
  <si>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</si>
  <si>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</si>
  <si>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</si>
  <si>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</si>
  <si>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</si>
  <si>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</si>
  <si>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</si>
  <si>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</si>
  <si>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</si>
  <si>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</si>
  <si>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</si>
  <si>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</si>
  <si>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</si>
  <si>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</si>
  <si>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</si>
  <si>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</si>
  <si>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</si>
  <si>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</si>
  <si>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</si>
  <si>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</si>
  <si>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</si>
  <si>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</si>
  <si>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</si>
  <si>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</si>
  <si>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</si>
  <si>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</si>
  <si>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</si>
  <si>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</si>
  <si>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</si>
  <si>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</si>
  <si>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</si>
  <si>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</si>
  <si>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</si>
  <si>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</si>
  <si>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</si>
  <si>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</si>
  <si>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</si>
  <si>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</si>
  <si>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</si>
  <si>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</si>
  <si>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</si>
  <si>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</si>
  <si>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</si>
  <si>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</si>
  <si>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</si>
  <si>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</si>
  <si>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</si>
  <si>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</si>
  <si>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</si>
  <si>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</si>
  <si>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</si>
  <si>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</si>
  <si>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</si>
  <si>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</si>
  <si>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</si>
  <si>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</si>
  <si>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</si>
  <si>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</si>
  <si>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</si>
  <si>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</si>
  <si>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</si>
  <si>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</si>
  <si>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</si>
  <si>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</si>
  <si>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</si>
  <si>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</si>
  <si>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</si>
  <si>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</si>
  <si>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</si>
  <si>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</si>
  <si>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</si>
  <si>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</si>
  <si>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</si>
  <si>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</si>
  <si>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</si>
  <si>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</si>
  <si>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</si>
  <si>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</si>
  <si>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</si>
  <si>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</si>
  <si>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</si>
  <si>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</si>
  <si>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</si>
  <si>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</si>
  <si>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</si>
  <si>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</si>
  <si>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</si>
  <si>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</si>
  <si>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</si>
  <si>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</si>
  <si>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</si>
  <si>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</si>
  <si>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</si>
  <si>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</si>
  <si>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</si>
  <si>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</si>
  <si>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</si>
  <si>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</si>
  <si>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</si>
  <si>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</si>
  <si>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</si>
  <si>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</si>
  <si>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</si>
  <si>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</si>
  <si>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</si>
  <si>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</si>
  <si>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</si>
  <si>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</si>
  <si>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</si>
  <si>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</si>
  <si>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</si>
  <si>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</si>
  <si>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</si>
  <si>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</si>
  <si>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</si>
  <si>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</si>
  <si>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</si>
  <si>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</si>
  <si>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</si>
  <si>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</si>
  <si>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</si>
  <si>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</si>
  <si>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</si>
  <si>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</si>
  <si>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</si>
  <si>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</si>
  <si>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</si>
  <si>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</si>
  <si>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</si>
  <si>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</si>
  <si>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</si>
  <si>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</si>
  <si>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</si>
  <si>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</si>
  <si>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</si>
  <si>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</si>
  <si>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</si>
  <si>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</si>
  <si>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</si>
  <si>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</si>
  <si>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</si>
  <si>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</si>
  <si>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</si>
  <si>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</si>
  <si>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</si>
  <si>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</si>
  <si>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</si>
  <si>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</si>
  <si>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</si>
  <si>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</si>
  <si>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</si>
  <si>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</si>
  <si>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</si>
  <si>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</si>
  <si>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</si>
  <si>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</si>
  <si>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</si>
  <si>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</si>
  <si>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</si>
  <si>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</si>
  <si>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</si>
  <si>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</si>
  <si>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</si>
  <si>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</si>
  <si>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</si>
  <si>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</si>
  <si>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</si>
  <si>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</si>
  <si>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</si>
  <si>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</si>
  <si>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</si>
  <si>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</si>
  <si>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</si>
  <si>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</si>
  <si>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</si>
  <si>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</si>
  <si>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</si>
  <si>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</si>
  <si>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</si>
  <si>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</si>
  <si>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</si>
  <si>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</si>
  <si>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</si>
  <si>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</si>
  <si>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</si>
  <si>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</si>
  <si>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</si>
  <si>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</si>
  <si>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</si>
  <si>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PLYMOUTH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</si>
</sst>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F123" sqref="F1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447</v>
      </c>
      <c r="C2" s="21">
        <v>447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103774.62</v>
      </c>
      <c r="G9" s="18">
        <v>-4599.3599999999997</v>
      </c>
      <c r="H9" s="18">
        <v>-39095.870000000003</v>
      </c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62053.29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6157.51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22112.6</v>
      </c>
      <c r="G13" s="18"/>
      <c r="H13" s="18">
        <v>42557.09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1617.6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129968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257472.82</v>
      </c>
      <c r="G19" s="41">
        <f>SUM(G9:G18)</f>
        <v>1558.1500000000005</v>
      </c>
      <c r="H19" s="41">
        <f>SUM(H9:H18)</f>
        <v>3461.2199999999939</v>
      </c>
      <c r="I19" s="41">
        <f>SUM(I9:I18)</f>
        <v>0</v>
      </c>
      <c r="J19" s="41">
        <f>SUM(J9:J18)</f>
        <v>62053.29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82446.179999999993</v>
      </c>
      <c r="G24" s="18">
        <v>1558.15</v>
      </c>
      <c r="H24" s="18">
        <v>3690.82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104768.99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187215.16999999998</v>
      </c>
      <c r="G32" s="41">
        <f>SUM(G22:G31)</f>
        <v>1558.15</v>
      </c>
      <c r="H32" s="41">
        <f>SUM(H22:H31)</f>
        <v>3690.82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21366.38</v>
      </c>
      <c r="G45" s="18"/>
      <c r="H45" s="18">
        <v>3250</v>
      </c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-3479.6</v>
      </c>
      <c r="I48" s="18"/>
      <c r="J48" s="13">
        <f>SUM(I459)</f>
        <v>62053.29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48891.27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70257.649999999994</v>
      </c>
      <c r="G51" s="41">
        <f>SUM(G35:G50)</f>
        <v>0</v>
      </c>
      <c r="H51" s="41">
        <f>SUM(H35:H50)</f>
        <v>-229.59999999999991</v>
      </c>
      <c r="I51" s="41">
        <f>SUM(I35:I50)</f>
        <v>0</v>
      </c>
      <c r="J51" s="41">
        <f>SUM(J35:J50)</f>
        <v>62053.29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257472.81999999998</v>
      </c>
      <c r="G52" s="41">
        <f>G51+G32</f>
        <v>1558.15</v>
      </c>
      <c r="H52" s="41">
        <f>H51+H32</f>
        <v>3461.2200000000003</v>
      </c>
      <c r="I52" s="41">
        <f>I51+I32</f>
        <v>0</v>
      </c>
      <c r="J52" s="41">
        <f>J51+J32</f>
        <v>62053.29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3755673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3755673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17000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93970.2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200828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101889.12</v>
      </c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413687.32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0.82</v>
      </c>
      <c r="G96" s="18"/>
      <c r="H96" s="18"/>
      <c r="I96" s="18"/>
      <c r="J96" s="18">
        <v>5.7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44722.01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>
        <v>2012.5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487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2006.7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341902.37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344396.89</v>
      </c>
      <c r="G111" s="41">
        <f>SUM(G96:G110)</f>
        <v>44722.01</v>
      </c>
      <c r="H111" s="41">
        <f>SUM(H96:H110)</f>
        <v>2012.5</v>
      </c>
      <c r="I111" s="41">
        <f>SUM(I96:I110)</f>
        <v>0</v>
      </c>
      <c r="J111" s="41">
        <f>SUM(J96:J110)</f>
        <v>5.7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4513757.21</v>
      </c>
      <c r="G112" s="41">
        <f>G60+G111</f>
        <v>44722.01</v>
      </c>
      <c r="H112" s="41">
        <f>H60+H79+H94+H111</f>
        <v>2012.5</v>
      </c>
      <c r="I112" s="41">
        <f>I60+I111</f>
        <v>0</v>
      </c>
      <c r="J112" s="41">
        <f>J60+J111</f>
        <v>5.7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2175643.75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650907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2826550.75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27083.91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1858.3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27083.91</v>
      </c>
      <c r="G136" s="41">
        <f>SUM(G123:G135)</f>
        <v>1858.3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2853634.66</v>
      </c>
      <c r="G140" s="41">
        <f>G121+SUM(G136:G137)</f>
        <v>1858.3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183816.83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5996.4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104789.99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102406.96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>
        <v>15900.25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102406.96</v>
      </c>
      <c r="G162" s="41">
        <f>SUM(G150:G161)</f>
        <v>104789.99</v>
      </c>
      <c r="H162" s="41">
        <f>SUM(H150:H161)</f>
        <v>205713.47999999998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2320.96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104727.92000000001</v>
      </c>
      <c r="G169" s="41">
        <f>G147+G162+SUM(G163:G168)</f>
        <v>104789.99</v>
      </c>
      <c r="H169" s="41">
        <f>H147+H162+SUM(H163:H168)</f>
        <v>205713.47999999998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285.89999999999998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285.89999999999998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285.89999999999998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7472119.79</v>
      </c>
      <c r="G193" s="47">
        <f>G112+G140+G169+G192</f>
        <v>151656.20000000001</v>
      </c>
      <c r="H193" s="47">
        <f>H112+H140+H169+H192</f>
        <v>207725.97999999998</v>
      </c>
      <c r="I193" s="47">
        <f>I112+I140+I169+I192</f>
        <v>0</v>
      </c>
      <c r="J193" s="47">
        <f>J112+J140+J192</f>
        <v>5.7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2071613.62</v>
      </c>
      <c r="G197" s="18">
        <v>980935.5</v>
      </c>
      <c r="H197" s="18">
        <v>15876.87</v>
      </c>
      <c r="I197" s="18">
        <v>74758.37</v>
      </c>
      <c r="J197" s="18">
        <v>74331.210000000006</v>
      </c>
      <c r="K197" s="18">
        <v>1709</v>
      </c>
      <c r="L197" s="19">
        <f>SUM(F197:K197)</f>
        <v>3219224.5700000003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963468.79</v>
      </c>
      <c r="G198" s="18">
        <v>480642.34</v>
      </c>
      <c r="H198" s="18">
        <v>212306.99</v>
      </c>
      <c r="I198" s="18">
        <v>2618.5700000000002</v>
      </c>
      <c r="J198" s="18">
        <v>582.46</v>
      </c>
      <c r="K198" s="18"/>
      <c r="L198" s="19">
        <f>SUM(F198:K198)</f>
        <v>1659619.1500000001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122270.51</v>
      </c>
      <c r="G200" s="18">
        <v>17090.259999999998</v>
      </c>
      <c r="H200" s="18">
        <v>22009.77</v>
      </c>
      <c r="I200" s="18">
        <v>4545.95</v>
      </c>
      <c r="J200" s="18">
        <v>7492.9</v>
      </c>
      <c r="K200" s="18">
        <v>2826</v>
      </c>
      <c r="L200" s="19">
        <f>SUM(F200:K200)</f>
        <v>176235.38999999998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277799.14</v>
      </c>
      <c r="G202" s="18">
        <v>140523.19</v>
      </c>
      <c r="H202" s="18">
        <v>277201.78999999998</v>
      </c>
      <c r="I202" s="18">
        <v>1375.73</v>
      </c>
      <c r="J202" s="18"/>
      <c r="K202" s="18"/>
      <c r="L202" s="19">
        <f t="shared" ref="L202:L208" si="0">SUM(F202:K202)</f>
        <v>696899.85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64245.95</v>
      </c>
      <c r="G203" s="18">
        <v>108126.46</v>
      </c>
      <c r="H203" s="18"/>
      <c r="I203" s="18">
        <v>7973.65</v>
      </c>
      <c r="J203" s="18">
        <v>1499</v>
      </c>
      <c r="K203" s="18"/>
      <c r="L203" s="19">
        <f t="shared" si="0"/>
        <v>181845.06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71591.360000000001</v>
      </c>
      <c r="G204" s="18">
        <v>34391.85</v>
      </c>
      <c r="H204" s="18">
        <v>255441.64</v>
      </c>
      <c r="I204" s="18">
        <v>1220.3499999999999</v>
      </c>
      <c r="J204" s="18"/>
      <c r="K204" s="18">
        <v>3122.24</v>
      </c>
      <c r="L204" s="19">
        <f t="shared" si="0"/>
        <v>365767.43999999994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261672.4</v>
      </c>
      <c r="G205" s="18">
        <v>127354.12</v>
      </c>
      <c r="H205" s="18">
        <v>2883</v>
      </c>
      <c r="I205" s="18">
        <v>2601.04</v>
      </c>
      <c r="J205" s="18"/>
      <c r="K205" s="18">
        <v>1539</v>
      </c>
      <c r="L205" s="19">
        <f t="shared" si="0"/>
        <v>396049.56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>
        <v>269.98</v>
      </c>
      <c r="I206" s="18"/>
      <c r="J206" s="18"/>
      <c r="K206" s="18"/>
      <c r="L206" s="19">
        <f t="shared" si="0"/>
        <v>269.98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202505.94</v>
      </c>
      <c r="G207" s="18">
        <v>76900.45</v>
      </c>
      <c r="H207" s="18">
        <v>154390.63</v>
      </c>
      <c r="I207" s="18">
        <v>104127.71</v>
      </c>
      <c r="J207" s="18">
        <v>4279</v>
      </c>
      <c r="K207" s="18"/>
      <c r="L207" s="19">
        <f t="shared" si="0"/>
        <v>542203.73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189156.12</v>
      </c>
      <c r="I208" s="18"/>
      <c r="J208" s="18"/>
      <c r="K208" s="18"/>
      <c r="L208" s="19">
        <f t="shared" si="0"/>
        <v>189156.12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4035167.71</v>
      </c>
      <c r="G211" s="41">
        <f t="shared" si="1"/>
        <v>1965964.1700000002</v>
      </c>
      <c r="H211" s="41">
        <f t="shared" si="1"/>
        <v>1129536.79</v>
      </c>
      <c r="I211" s="41">
        <f t="shared" si="1"/>
        <v>199221.37</v>
      </c>
      <c r="J211" s="41">
        <f t="shared" si="1"/>
        <v>88184.57</v>
      </c>
      <c r="K211" s="41">
        <f t="shared" si="1"/>
        <v>9196.24</v>
      </c>
      <c r="L211" s="41">
        <f t="shared" si="1"/>
        <v>7427270.8499999987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48911.27</v>
      </c>
      <c r="G253" s="18">
        <v>11232.44</v>
      </c>
      <c r="H253" s="18">
        <v>11744.55</v>
      </c>
      <c r="I253" s="18">
        <v>272.67</v>
      </c>
      <c r="J253" s="18"/>
      <c r="K253" s="18"/>
      <c r="L253" s="19">
        <f t="shared" si="6"/>
        <v>72160.929999999993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55300.49</v>
      </c>
      <c r="I255" s="18"/>
      <c r="J255" s="18"/>
      <c r="K255" s="18"/>
      <c r="L255" s="19">
        <f t="shared" si="6"/>
        <v>55300.49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48911.27</v>
      </c>
      <c r="G256" s="41">
        <f t="shared" si="7"/>
        <v>11232.44</v>
      </c>
      <c r="H256" s="41">
        <f t="shared" si="7"/>
        <v>67045.039999999994</v>
      </c>
      <c r="I256" s="41">
        <f t="shared" si="7"/>
        <v>272.67</v>
      </c>
      <c r="J256" s="41">
        <f t="shared" si="7"/>
        <v>0</v>
      </c>
      <c r="K256" s="41">
        <f t="shared" si="7"/>
        <v>0</v>
      </c>
      <c r="L256" s="41">
        <f>SUM(F256:K256)</f>
        <v>127461.42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4084078.98</v>
      </c>
      <c r="G257" s="41">
        <f t="shared" si="8"/>
        <v>1977196.61</v>
      </c>
      <c r="H257" s="41">
        <f t="shared" si="8"/>
        <v>1196581.83</v>
      </c>
      <c r="I257" s="41">
        <f t="shared" si="8"/>
        <v>199494.04</v>
      </c>
      <c r="J257" s="41">
        <f t="shared" si="8"/>
        <v>88184.57</v>
      </c>
      <c r="K257" s="41">
        <f t="shared" si="8"/>
        <v>9196.24</v>
      </c>
      <c r="L257" s="41">
        <f t="shared" si="8"/>
        <v>7554732.2699999986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285.89999999999998</v>
      </c>
      <c r="L263" s="19">
        <f>SUM(F263:K263)</f>
        <v>285.89999999999998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285.89999999999998</v>
      </c>
      <c r="L270" s="41">
        <f t="shared" si="9"/>
        <v>285.89999999999998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4084078.98</v>
      </c>
      <c r="G271" s="42">
        <f t="shared" si="11"/>
        <v>1977196.61</v>
      </c>
      <c r="H271" s="42">
        <f t="shared" si="11"/>
        <v>1196581.83</v>
      </c>
      <c r="I271" s="42">
        <f t="shared" si="11"/>
        <v>199494.04</v>
      </c>
      <c r="J271" s="42">
        <f t="shared" si="11"/>
        <v>88184.57</v>
      </c>
      <c r="K271" s="42">
        <f t="shared" si="11"/>
        <v>9482.14</v>
      </c>
      <c r="L271" s="42">
        <f t="shared" si="11"/>
        <v>7555018.169999999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63761.49</v>
      </c>
      <c r="G276" s="18">
        <v>22977</v>
      </c>
      <c r="H276" s="18">
        <v>2507.91</v>
      </c>
      <c r="I276" s="18">
        <v>25384.77</v>
      </c>
      <c r="J276" s="18">
        <v>21908.61</v>
      </c>
      <c r="K276" s="18"/>
      <c r="L276" s="19">
        <f>SUM(F276:K276)</f>
        <v>136539.78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>
        <v>3344.75</v>
      </c>
      <c r="K277" s="18"/>
      <c r="L277" s="19">
        <f>SUM(F277:K277)</f>
        <v>3344.75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12665.28</v>
      </c>
      <c r="G279" s="18">
        <v>3829.19</v>
      </c>
      <c r="H279" s="18">
        <v>1900</v>
      </c>
      <c r="I279" s="18">
        <v>4878.2299999999996</v>
      </c>
      <c r="J279" s="18"/>
      <c r="K279" s="18"/>
      <c r="L279" s="19">
        <f>SUM(F279:K279)</f>
        <v>23272.7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9631.9</v>
      </c>
      <c r="G281" s="18">
        <v>4241.96</v>
      </c>
      <c r="H281" s="18"/>
      <c r="I281" s="18">
        <v>2156.9299999999998</v>
      </c>
      <c r="J281" s="18"/>
      <c r="K281" s="18"/>
      <c r="L281" s="19">
        <f t="shared" ref="L281:L287" si="12">SUM(F281:K281)</f>
        <v>16030.79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4500</v>
      </c>
      <c r="G282" s="18">
        <v>1025.92</v>
      </c>
      <c r="H282" s="18">
        <v>8078.03</v>
      </c>
      <c r="I282" s="18"/>
      <c r="J282" s="18"/>
      <c r="K282" s="18"/>
      <c r="L282" s="19">
        <f t="shared" si="12"/>
        <v>13603.95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7510.47</v>
      </c>
      <c r="G283" s="18"/>
      <c r="H283" s="18"/>
      <c r="I283" s="18"/>
      <c r="J283" s="18"/>
      <c r="K283" s="18">
        <v>1146.23</v>
      </c>
      <c r="L283" s="19">
        <f t="shared" si="12"/>
        <v>8656.7000000000007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3923.31</v>
      </c>
      <c r="L285" s="19">
        <f t="shared" si="12"/>
        <v>3923.31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2354</v>
      </c>
      <c r="I287" s="18"/>
      <c r="J287" s="18"/>
      <c r="K287" s="18"/>
      <c r="L287" s="19">
        <f t="shared" si="12"/>
        <v>2354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98069.14</v>
      </c>
      <c r="G290" s="42">
        <f t="shared" si="13"/>
        <v>32074.07</v>
      </c>
      <c r="H290" s="42">
        <f t="shared" si="13"/>
        <v>14839.939999999999</v>
      </c>
      <c r="I290" s="42">
        <f t="shared" si="13"/>
        <v>32419.93</v>
      </c>
      <c r="J290" s="42">
        <f t="shared" si="13"/>
        <v>25253.360000000001</v>
      </c>
      <c r="K290" s="42">
        <f t="shared" si="13"/>
        <v>5069.54</v>
      </c>
      <c r="L290" s="41">
        <f t="shared" si="13"/>
        <v>207725.98000000004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98069.14</v>
      </c>
      <c r="G338" s="41">
        <f t="shared" si="20"/>
        <v>32074.07</v>
      </c>
      <c r="H338" s="41">
        <f t="shared" si="20"/>
        <v>14839.939999999999</v>
      </c>
      <c r="I338" s="41">
        <f t="shared" si="20"/>
        <v>32419.93</v>
      </c>
      <c r="J338" s="41">
        <f t="shared" si="20"/>
        <v>25253.360000000001</v>
      </c>
      <c r="K338" s="41">
        <f t="shared" si="20"/>
        <v>5069.54</v>
      </c>
      <c r="L338" s="41">
        <f t="shared" si="20"/>
        <v>207725.98000000004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98069.14</v>
      </c>
      <c r="G352" s="41">
        <f>G338</f>
        <v>32074.07</v>
      </c>
      <c r="H352" s="41">
        <f>H338</f>
        <v>14839.939999999999</v>
      </c>
      <c r="I352" s="41">
        <f>I338</f>
        <v>32419.93</v>
      </c>
      <c r="J352" s="41">
        <f>J338</f>
        <v>25253.360000000001</v>
      </c>
      <c r="K352" s="47">
        <f>K338+K351</f>
        <v>5069.54</v>
      </c>
      <c r="L352" s="41">
        <f>L338+L351</f>
        <v>207725.98000000004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155448.5</v>
      </c>
      <c r="I358" s="18"/>
      <c r="J358" s="18"/>
      <c r="K358" s="18"/>
      <c r="L358" s="13">
        <f>SUM(F358:K358)</f>
        <v>155448.5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155448.5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155448.5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>
        <v>5.7</v>
      </c>
      <c r="I396" s="18"/>
      <c r="J396" s="24" t="s">
        <v>288</v>
      </c>
      <c r="K396" s="24" t="s">
        <v>288</v>
      </c>
      <c r="L396" s="56">
        <f t="shared" si="26"/>
        <v>5.7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5.7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5.7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5.7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5.7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>
        <v>62053.29</v>
      </c>
      <c r="H440" s="18"/>
      <c r="I440" s="56">
        <f t="shared" si="33"/>
        <v>62053.29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62053.29</v>
      </c>
      <c r="H446" s="13">
        <f>SUM(H439:H445)</f>
        <v>0</v>
      </c>
      <c r="I446" s="13">
        <f>SUM(I439:I445)</f>
        <v>62053.29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62053.29</v>
      </c>
      <c r="H459" s="18"/>
      <c r="I459" s="56">
        <f t="shared" si="34"/>
        <v>62053.29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62053.29</v>
      </c>
      <c r="H460" s="83">
        <f>SUM(H454:H459)</f>
        <v>0</v>
      </c>
      <c r="I460" s="83">
        <f>SUM(I454:I459)</f>
        <v>62053.29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62053.29</v>
      </c>
      <c r="H461" s="42">
        <f>H452+H460</f>
        <v>0</v>
      </c>
      <c r="I461" s="42">
        <f>I452+I460</f>
        <v>62053.29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153156.03</v>
      </c>
      <c r="G465" s="18">
        <v>3792.3</v>
      </c>
      <c r="H465" s="18">
        <v>-229.6</v>
      </c>
      <c r="I465" s="18"/>
      <c r="J465" s="18">
        <v>62047.59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7472119.79</v>
      </c>
      <c r="G468" s="18">
        <v>151656.20000000001</v>
      </c>
      <c r="H468" s="18">
        <v>207725.98</v>
      </c>
      <c r="I468" s="18"/>
      <c r="J468" s="18">
        <v>5.7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7472119.79</v>
      </c>
      <c r="G470" s="53">
        <f>SUM(G468:G469)</f>
        <v>151656.20000000001</v>
      </c>
      <c r="H470" s="53">
        <f>SUM(H468:H469)</f>
        <v>207725.98</v>
      </c>
      <c r="I470" s="53">
        <f>SUM(I468:I469)</f>
        <v>0</v>
      </c>
      <c r="J470" s="53">
        <f>SUM(J468:J469)</f>
        <v>5.7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7555018.1699999999</v>
      </c>
      <c r="G472" s="18">
        <v>155448.5</v>
      </c>
      <c r="H472" s="18">
        <v>207725.98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7555018.1699999999</v>
      </c>
      <c r="G474" s="53">
        <f>SUM(G472:G473)</f>
        <v>155448.5</v>
      </c>
      <c r="H474" s="53">
        <f>SUM(H472:H473)</f>
        <v>207725.98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70257.650000000373</v>
      </c>
      <c r="G476" s="53">
        <f>(G465+G470)- G474</f>
        <v>0</v>
      </c>
      <c r="H476" s="53">
        <f>(H465+H470)- H474</f>
        <v>-229.60000000000582</v>
      </c>
      <c r="I476" s="53">
        <f>(I465+I470)- I474</f>
        <v>0</v>
      </c>
      <c r="J476" s="53">
        <f>(J465+J470)- J474</f>
        <v>62053.289999999994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962588.79</v>
      </c>
      <c r="G521" s="18">
        <v>480575.02</v>
      </c>
      <c r="H521" s="18">
        <v>198956.99</v>
      </c>
      <c r="I521" s="18">
        <v>2618.5700000000002</v>
      </c>
      <c r="J521" s="18">
        <v>582.46</v>
      </c>
      <c r="K521" s="18"/>
      <c r="L521" s="88">
        <f>SUM(F521:K521)</f>
        <v>1645321.83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962588.79</v>
      </c>
      <c r="G524" s="108">
        <f t="shared" ref="G524:L524" si="36">SUM(G521:G523)</f>
        <v>480575.02</v>
      </c>
      <c r="H524" s="108">
        <f t="shared" si="36"/>
        <v>198956.99</v>
      </c>
      <c r="I524" s="108">
        <f t="shared" si="36"/>
        <v>2618.5700000000002</v>
      </c>
      <c r="J524" s="108">
        <f t="shared" si="36"/>
        <v>582.46</v>
      </c>
      <c r="K524" s="108">
        <f t="shared" si="36"/>
        <v>0</v>
      </c>
      <c r="L524" s="89">
        <f t="shared" si="36"/>
        <v>1645321.83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221799.14</v>
      </c>
      <c r="G526" s="18">
        <v>111309.72</v>
      </c>
      <c r="H526" s="18">
        <v>197842.08</v>
      </c>
      <c r="I526" s="18">
        <v>512.04999999999995</v>
      </c>
      <c r="J526" s="18"/>
      <c r="K526" s="18"/>
      <c r="L526" s="88">
        <f>SUM(F526:K526)</f>
        <v>531462.99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221799.14</v>
      </c>
      <c r="G529" s="89">
        <f t="shared" ref="G529:L529" si="37">SUM(G526:G528)</f>
        <v>111309.72</v>
      </c>
      <c r="H529" s="89">
        <f t="shared" si="37"/>
        <v>197842.08</v>
      </c>
      <c r="I529" s="89">
        <f t="shared" si="37"/>
        <v>512.04999999999995</v>
      </c>
      <c r="J529" s="89">
        <f t="shared" si="37"/>
        <v>0</v>
      </c>
      <c r="K529" s="89">
        <f t="shared" si="37"/>
        <v>0</v>
      </c>
      <c r="L529" s="89">
        <f t="shared" si="37"/>
        <v>531462.99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21268.32</v>
      </c>
      <c r="G531" s="18">
        <v>10214.41</v>
      </c>
      <c r="H531" s="18">
        <v>283.87</v>
      </c>
      <c r="I531" s="18"/>
      <c r="J531" s="18"/>
      <c r="K531" s="18"/>
      <c r="L531" s="88">
        <f>SUM(F531:K531)</f>
        <v>31766.6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21268.32</v>
      </c>
      <c r="G534" s="89">
        <f t="shared" ref="G534:L534" si="38">SUM(G531:G533)</f>
        <v>10214.41</v>
      </c>
      <c r="H534" s="89">
        <f t="shared" si="38"/>
        <v>283.87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31766.6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33235.58</v>
      </c>
      <c r="I541" s="18"/>
      <c r="J541" s="18"/>
      <c r="K541" s="18"/>
      <c r="L541" s="88">
        <f>SUM(F541:K541)</f>
        <v>33235.58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33235.58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33235.58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1205656.2500000002</v>
      </c>
      <c r="G545" s="89">
        <f t="shared" ref="G545:L545" si="41">G524+G529+G534+G539+G544</f>
        <v>602099.15</v>
      </c>
      <c r="H545" s="89">
        <f t="shared" si="41"/>
        <v>430318.51999999996</v>
      </c>
      <c r="I545" s="89">
        <f t="shared" si="41"/>
        <v>3130.62</v>
      </c>
      <c r="J545" s="89">
        <f t="shared" si="41"/>
        <v>582.46</v>
      </c>
      <c r="K545" s="89">
        <f t="shared" si="41"/>
        <v>0</v>
      </c>
      <c r="L545" s="89">
        <f t="shared" si="41"/>
        <v>2241787.0000000005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1645321.83</v>
      </c>
      <c r="G549" s="87">
        <f>L526</f>
        <v>531462.99</v>
      </c>
      <c r="H549" s="87">
        <f>L531</f>
        <v>31766.6</v>
      </c>
      <c r="I549" s="87">
        <f>L536</f>
        <v>0</v>
      </c>
      <c r="J549" s="87">
        <f>L541</f>
        <v>33235.58</v>
      </c>
      <c r="K549" s="87">
        <f>SUM(F549:J549)</f>
        <v>2241787.0000000005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1645321.83</v>
      </c>
      <c r="G552" s="89">
        <f t="shared" si="42"/>
        <v>531462.99</v>
      </c>
      <c r="H552" s="89">
        <f t="shared" si="42"/>
        <v>31766.6</v>
      </c>
      <c r="I552" s="89">
        <f t="shared" si="42"/>
        <v>0</v>
      </c>
      <c r="J552" s="89">
        <f t="shared" si="42"/>
        <v>33235.58</v>
      </c>
      <c r="K552" s="89">
        <f t="shared" si="42"/>
        <v>2241787.0000000005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880</v>
      </c>
      <c r="G562" s="18">
        <v>67.319999999999993</v>
      </c>
      <c r="H562" s="18">
        <v>15350</v>
      </c>
      <c r="I562" s="18"/>
      <c r="J562" s="18"/>
      <c r="K562" s="18"/>
      <c r="L562" s="88">
        <f>SUM(F562:K562)</f>
        <v>16297.32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880</v>
      </c>
      <c r="G565" s="89">
        <f t="shared" si="44"/>
        <v>67.319999999999993</v>
      </c>
      <c r="H565" s="89">
        <f t="shared" si="44"/>
        <v>15350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16297.32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880</v>
      </c>
      <c r="G571" s="89">
        <f t="shared" ref="G571:L571" si="46">G560+G565+G570</f>
        <v>67.319999999999993</v>
      </c>
      <c r="H571" s="89">
        <f t="shared" si="46"/>
        <v>15350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16297.32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13825.38</v>
      </c>
      <c r="G579" s="18"/>
      <c r="H579" s="18"/>
      <c r="I579" s="87">
        <f t="shared" si="47"/>
        <v>13825.38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115940.54</v>
      </c>
      <c r="G583" s="18"/>
      <c r="H583" s="18"/>
      <c r="I583" s="87">
        <f t="shared" si="47"/>
        <v>115940.54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115834.83</v>
      </c>
      <c r="I591" s="18"/>
      <c r="J591" s="18"/>
      <c r="K591" s="104">
        <f t="shared" ref="K591:K597" si="48">SUM(H591:J591)</f>
        <v>115834.83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33235.58</v>
      </c>
      <c r="I592" s="18"/>
      <c r="J592" s="18"/>
      <c r="K592" s="104">
        <f t="shared" si="48"/>
        <v>33235.58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9106</v>
      </c>
      <c r="I594" s="18"/>
      <c r="J594" s="18"/>
      <c r="K594" s="104">
        <f t="shared" si="48"/>
        <v>9106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30979.71</v>
      </c>
      <c r="I595" s="18"/>
      <c r="J595" s="18"/>
      <c r="K595" s="104">
        <f t="shared" si="48"/>
        <v>30979.71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189156.12</v>
      </c>
      <c r="I598" s="108">
        <f>SUM(I591:I597)</f>
        <v>0</v>
      </c>
      <c r="J598" s="108">
        <f>SUM(J591:J597)</f>
        <v>0</v>
      </c>
      <c r="K598" s="108">
        <f>SUM(K591:K597)</f>
        <v>189156.12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113437.93</v>
      </c>
      <c r="I604" s="18"/>
      <c r="J604" s="18"/>
      <c r="K604" s="104">
        <f>SUM(H604:J604)</f>
        <v>113437.93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113437.93</v>
      </c>
      <c r="I605" s="108">
        <f>SUM(I602:I604)</f>
        <v>0</v>
      </c>
      <c r="J605" s="108">
        <f>SUM(J602:J604)</f>
        <v>0</v>
      </c>
      <c r="K605" s="108">
        <f>SUM(K602:K604)</f>
        <v>113437.93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5797.5</v>
      </c>
      <c r="G611" s="18">
        <v>1053.1300000000001</v>
      </c>
      <c r="H611" s="18"/>
      <c r="I611" s="18">
        <v>937.53</v>
      </c>
      <c r="J611" s="18"/>
      <c r="K611" s="18"/>
      <c r="L611" s="88">
        <f>SUM(F611:K611)</f>
        <v>7788.16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5797.5</v>
      </c>
      <c r="G614" s="108">
        <f t="shared" si="49"/>
        <v>1053.1300000000001</v>
      </c>
      <c r="H614" s="108">
        <f t="shared" si="49"/>
        <v>0</v>
      </c>
      <c r="I614" s="108">
        <f t="shared" si="49"/>
        <v>937.53</v>
      </c>
      <c r="J614" s="108">
        <f t="shared" si="49"/>
        <v>0</v>
      </c>
      <c r="K614" s="108">
        <f t="shared" si="49"/>
        <v>0</v>
      </c>
      <c r="L614" s="89">
        <f t="shared" si="49"/>
        <v>7788.16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257472.82</v>
      </c>
      <c r="H617" s="109">
        <f>SUM(F52)</f>
        <v>257472.81999999998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1558.1500000000005</v>
      </c>
      <c r="H618" s="109">
        <f>SUM(G52)</f>
        <v>1558.15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3461.2199999999939</v>
      </c>
      <c r="H619" s="109">
        <f>SUM(H52)</f>
        <v>3461.2200000000003</v>
      </c>
      <c r="I619" s="121" t="s">
        <v>892</v>
      </c>
      <c r="J619" s="109">
        <f>G619-H619</f>
        <v>-6.3664629124104977E-12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62053.29</v>
      </c>
      <c r="H621" s="109">
        <f>SUM(J52)</f>
        <v>62053.29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70257.649999999994</v>
      </c>
      <c r="H622" s="109">
        <f>F476</f>
        <v>70257.650000000373</v>
      </c>
      <c r="I622" s="121" t="s">
        <v>101</v>
      </c>
      <c r="J622" s="109">
        <f t="shared" ref="J622:J655" si="50">G622-H622</f>
        <v>-3.7834979593753815E-10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-229.59999999999991</v>
      </c>
      <c r="H624" s="109">
        <f>H476</f>
        <v>-229.60000000000582</v>
      </c>
      <c r="I624" s="121" t="s">
        <v>103</v>
      </c>
      <c r="J624" s="109">
        <f t="shared" si="50"/>
        <v>5.9117155615240335E-12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62053.29</v>
      </c>
      <c r="H626" s="109">
        <f>J476</f>
        <v>62053.289999999994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7472119.79</v>
      </c>
      <c r="H627" s="104">
        <f>SUM(F468)</f>
        <v>7472119.79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151656.20000000001</v>
      </c>
      <c r="H628" s="104">
        <f>SUM(G468)</f>
        <v>151656.20000000001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207725.97999999998</v>
      </c>
      <c r="H629" s="104">
        <f>SUM(H468)</f>
        <v>207725.98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5.7</v>
      </c>
      <c r="H631" s="104">
        <f>SUM(J468)</f>
        <v>5.7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7555018.169999999</v>
      </c>
      <c r="H632" s="104">
        <f>SUM(F472)</f>
        <v>7555018.1699999999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207725.98000000004</v>
      </c>
      <c r="H633" s="104">
        <f>SUM(H472)</f>
        <v>207725.98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155448.5</v>
      </c>
      <c r="H635" s="104">
        <f>SUM(G472)</f>
        <v>155448.5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5.7</v>
      </c>
      <c r="H637" s="164">
        <f>SUM(J468)</f>
        <v>5.7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62053.29</v>
      </c>
      <c r="H640" s="104">
        <f>SUM(G461)</f>
        <v>62053.29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62053.29</v>
      </c>
      <c r="H642" s="104">
        <f>SUM(I461)</f>
        <v>62053.29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5.7</v>
      </c>
      <c r="H644" s="104">
        <f>H408</f>
        <v>5.7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5.7</v>
      </c>
      <c r="H646" s="104">
        <f>L408</f>
        <v>5.7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189156.12</v>
      </c>
      <c r="H647" s="104">
        <f>L208+L226+L244</f>
        <v>189156.12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113437.93</v>
      </c>
      <c r="H648" s="104">
        <f>(J257+J338)-(J255+J336)</f>
        <v>113437.93000000001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189156.12</v>
      </c>
      <c r="H649" s="104">
        <f>H598</f>
        <v>189156.12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285.89999999999998</v>
      </c>
      <c r="H652" s="104">
        <f>K263+K345</f>
        <v>285.89999999999998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7790445.3299999991</v>
      </c>
      <c r="G660" s="19">
        <f>(L229+L309+L359)</f>
        <v>0</v>
      </c>
      <c r="H660" s="19">
        <f>(L247+L328+L360)</f>
        <v>0</v>
      </c>
      <c r="I660" s="19">
        <f>SUM(F660:H660)</f>
        <v>7790445.3299999991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44722.01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44722.01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191510.12</v>
      </c>
      <c r="G662" s="19">
        <f>(L226+L306)-(J226+J306)</f>
        <v>0</v>
      </c>
      <c r="H662" s="19">
        <f>(L244+L325)-(J244+J325)</f>
        <v>0</v>
      </c>
      <c r="I662" s="19">
        <f>SUM(F662:H662)</f>
        <v>191510.12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250992.00999999998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250992.00999999998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7303221.1899999995</v>
      </c>
      <c r="G664" s="19">
        <f>G660-SUM(G661:G663)</f>
        <v>0</v>
      </c>
      <c r="H664" s="19">
        <f>H660-SUM(H661:H663)</f>
        <v>0</v>
      </c>
      <c r="I664" s="19">
        <f>I660-SUM(I661:I663)</f>
        <v>7303221.1899999995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405.06</v>
      </c>
      <c r="G665" s="248"/>
      <c r="H665" s="248"/>
      <c r="I665" s="19">
        <f>SUM(F665:H665)</f>
        <v>405.06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18029.97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18029.97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18029.97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18029.97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PLYMOUTH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2135375.1100000003</v>
      </c>
      <c r="C9" s="229">
        <f>'DOE25'!G197+'DOE25'!G215+'DOE25'!G233+'DOE25'!G276+'DOE25'!G295+'DOE25'!G314</f>
        <v>1003912.5</v>
      </c>
    </row>
    <row r="10" spans="1:3" x14ac:dyDescent="0.2">
      <c r="A10" t="s">
        <v>778</v>
      </c>
      <c r="B10" s="240">
        <v>2093832.52</v>
      </c>
      <c r="C10" s="240">
        <v>999614.29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41542.589999999997</v>
      </c>
      <c r="C12" s="240">
        <v>4298.21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2135375.11</v>
      </c>
      <c r="C13" s="231">
        <f>SUM(C10:C12)</f>
        <v>1003912.5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963468.79</v>
      </c>
      <c r="C18" s="229">
        <f>'DOE25'!G198+'DOE25'!G216+'DOE25'!G234+'DOE25'!G277+'DOE25'!G296+'DOE25'!G315</f>
        <v>480642.34</v>
      </c>
    </row>
    <row r="19" spans="1:3" x14ac:dyDescent="0.2">
      <c r="A19" t="s">
        <v>778</v>
      </c>
      <c r="B19" s="240">
        <v>495441.3</v>
      </c>
      <c r="C19" s="240">
        <v>234670.31</v>
      </c>
    </row>
    <row r="20" spans="1:3" x14ac:dyDescent="0.2">
      <c r="A20" t="s">
        <v>779</v>
      </c>
      <c r="B20" s="240">
        <v>418225.46</v>
      </c>
      <c r="C20" s="240">
        <v>230065.35</v>
      </c>
    </row>
    <row r="21" spans="1:3" x14ac:dyDescent="0.2">
      <c r="A21" t="s">
        <v>780</v>
      </c>
      <c r="B21" s="240">
        <v>49802.03</v>
      </c>
      <c r="C21" s="240">
        <v>15906.68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963468.79</v>
      </c>
      <c r="C22" s="231">
        <f>SUM(C19:C21)</f>
        <v>480642.34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134935.79</v>
      </c>
      <c r="C36" s="235">
        <f>'DOE25'!G200+'DOE25'!G218+'DOE25'!G236+'DOE25'!G279+'DOE25'!G298+'DOE25'!G317</f>
        <v>20919.449999999997</v>
      </c>
    </row>
    <row r="37" spans="1:3" x14ac:dyDescent="0.2">
      <c r="A37" t="s">
        <v>778</v>
      </c>
      <c r="B37" s="240">
        <v>48428.89</v>
      </c>
      <c r="C37" s="240">
        <v>12454.22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86506.9</v>
      </c>
      <c r="C39" s="240">
        <v>8465.23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134935.78999999998</v>
      </c>
      <c r="C40" s="231">
        <f>SUM(C37:C39)</f>
        <v>20919.449999999997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PLYMOUTH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5055079.1100000003</v>
      </c>
      <c r="D5" s="20">
        <f>SUM('DOE25'!L197:L200)+SUM('DOE25'!L215:L218)+SUM('DOE25'!L233:L236)-F5-G5</f>
        <v>4968137.54</v>
      </c>
      <c r="E5" s="243"/>
      <c r="F5" s="255">
        <f>SUM('DOE25'!J197:J200)+SUM('DOE25'!J215:J218)+SUM('DOE25'!J233:J236)</f>
        <v>82406.570000000007</v>
      </c>
      <c r="G5" s="53">
        <f>SUM('DOE25'!K197:K200)+SUM('DOE25'!K215:K218)+SUM('DOE25'!K233:K236)</f>
        <v>4535</v>
      </c>
      <c r="H5" s="259"/>
    </row>
    <row r="6" spans="1:9" x14ac:dyDescent="0.2">
      <c r="A6" s="32">
        <v>2100</v>
      </c>
      <c r="B6" t="s">
        <v>800</v>
      </c>
      <c r="C6" s="245">
        <f t="shared" si="0"/>
        <v>696899.85</v>
      </c>
      <c r="D6" s="20">
        <f>'DOE25'!L202+'DOE25'!L220+'DOE25'!L238-F6-G6</f>
        <v>696899.85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181845.06</v>
      </c>
      <c r="D7" s="20">
        <f>'DOE25'!L203+'DOE25'!L221+'DOE25'!L239-F7-G7</f>
        <v>180346.06</v>
      </c>
      <c r="E7" s="243"/>
      <c r="F7" s="255">
        <f>'DOE25'!J203+'DOE25'!J221+'DOE25'!J239</f>
        <v>1499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250171.48999999993</v>
      </c>
      <c r="D8" s="243"/>
      <c r="E8" s="20">
        <f>'DOE25'!L204+'DOE25'!L222+'DOE25'!L240-F8-G8-D9-D11</f>
        <v>247049.24999999994</v>
      </c>
      <c r="F8" s="255">
        <f>'DOE25'!J204+'DOE25'!J222+'DOE25'!J240</f>
        <v>0</v>
      </c>
      <c r="G8" s="53">
        <f>'DOE25'!K204+'DOE25'!K222+'DOE25'!K240</f>
        <v>3122.24</v>
      </c>
      <c r="H8" s="259"/>
    </row>
    <row r="9" spans="1:9" x14ac:dyDescent="0.2">
      <c r="A9" s="32">
        <v>2310</v>
      </c>
      <c r="B9" t="s">
        <v>817</v>
      </c>
      <c r="C9" s="245">
        <f t="shared" si="0"/>
        <v>22530.94</v>
      </c>
      <c r="D9" s="244">
        <v>22530.94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6000</v>
      </c>
      <c r="D10" s="243"/>
      <c r="E10" s="244">
        <v>6000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93065.01</v>
      </c>
      <c r="D11" s="244">
        <v>93065.01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396049.56</v>
      </c>
      <c r="D12" s="20">
        <f>'DOE25'!L205+'DOE25'!L223+'DOE25'!L241-F12-G12</f>
        <v>394510.56</v>
      </c>
      <c r="E12" s="243"/>
      <c r="F12" s="255">
        <f>'DOE25'!J205+'DOE25'!J223+'DOE25'!J241</f>
        <v>0</v>
      </c>
      <c r="G12" s="53">
        <f>'DOE25'!K205+'DOE25'!K223+'DOE25'!K241</f>
        <v>1539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269.98</v>
      </c>
      <c r="D13" s="243"/>
      <c r="E13" s="20">
        <f>'DOE25'!L206+'DOE25'!L224+'DOE25'!L242-F13-G13</f>
        <v>269.98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542203.73</v>
      </c>
      <c r="D14" s="20">
        <f>'DOE25'!L207+'DOE25'!L225+'DOE25'!L243-F14-G14</f>
        <v>537924.73</v>
      </c>
      <c r="E14" s="243"/>
      <c r="F14" s="255">
        <f>'DOE25'!J207+'DOE25'!J225+'DOE25'!J243</f>
        <v>4279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189156.12</v>
      </c>
      <c r="D15" s="20">
        <f>'DOE25'!L208+'DOE25'!L226+'DOE25'!L244-F15-G15</f>
        <v>189156.12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72160.929999999993</v>
      </c>
      <c r="D19" s="20">
        <f>'DOE25'!L253-F19-G19</f>
        <v>72160.929999999993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55300.49</v>
      </c>
      <c r="D22" s="243"/>
      <c r="E22" s="243"/>
      <c r="F22" s="255">
        <f>'DOE25'!L255+'DOE25'!L336</f>
        <v>55300.49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155448.5</v>
      </c>
      <c r="D29" s="20">
        <f>'DOE25'!L358+'DOE25'!L359+'DOE25'!L360-'DOE25'!I367-F29-G29</f>
        <v>155448.5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207725.98000000007</v>
      </c>
      <c r="D31" s="20">
        <f>'DOE25'!L290+'DOE25'!L309+'DOE25'!L328+'DOE25'!L333+'DOE25'!L334+'DOE25'!L335-F31-G31</f>
        <v>177403.08000000005</v>
      </c>
      <c r="E31" s="243"/>
      <c r="F31" s="255">
        <f>'DOE25'!J290+'DOE25'!J309+'DOE25'!J328+'DOE25'!J333+'DOE25'!J334+'DOE25'!J335</f>
        <v>25253.360000000001</v>
      </c>
      <c r="G31" s="53">
        <f>'DOE25'!K290+'DOE25'!K309+'DOE25'!K328+'DOE25'!K333+'DOE25'!K334+'DOE25'!K335</f>
        <v>5069.54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7487583.3199999994</v>
      </c>
      <c r="E33" s="246">
        <f>SUM(E5:E31)</f>
        <v>253319.22999999995</v>
      </c>
      <c r="F33" s="246">
        <f>SUM(F5:F31)</f>
        <v>168738.41999999998</v>
      </c>
      <c r="G33" s="246">
        <f>SUM(G5:G31)</f>
        <v>14265.779999999999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253319.22999999995</v>
      </c>
      <c r="E35" s="249"/>
    </row>
    <row r="36" spans="2:8" ht="12" thickTop="1" x14ac:dyDescent="0.2">
      <c r="B36" t="s">
        <v>814</v>
      </c>
      <c r="D36" s="20">
        <f>D33</f>
        <v>7487583.3199999994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PLYMOUTH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103774.62</v>
      </c>
      <c r="D8" s="95">
        <f>'DOE25'!G9</f>
        <v>-4599.3599999999997</v>
      </c>
      <c r="E8" s="95">
        <f>'DOE25'!H9</f>
        <v>-39095.870000000003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62053.29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6157.51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22112.6</v>
      </c>
      <c r="D12" s="95">
        <f>'DOE25'!G13</f>
        <v>0</v>
      </c>
      <c r="E12" s="95">
        <f>'DOE25'!H13</f>
        <v>42557.09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1617.6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129968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257472.82</v>
      </c>
      <c r="D18" s="41">
        <f>SUM(D8:D17)</f>
        <v>1558.1500000000005</v>
      </c>
      <c r="E18" s="41">
        <f>SUM(E8:E17)</f>
        <v>3461.2199999999939</v>
      </c>
      <c r="F18" s="41">
        <f>SUM(F8:F17)</f>
        <v>0</v>
      </c>
      <c r="G18" s="41">
        <f>SUM(G8:G17)</f>
        <v>62053.29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82446.179999999993</v>
      </c>
      <c r="D23" s="95">
        <f>'DOE25'!G24</f>
        <v>1558.15</v>
      </c>
      <c r="E23" s="95">
        <f>'DOE25'!H24</f>
        <v>3690.82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104768.99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187215.16999999998</v>
      </c>
      <c r="D31" s="41">
        <f>SUM(D21:D30)</f>
        <v>1558.15</v>
      </c>
      <c r="E31" s="41">
        <f>SUM(E21:E30)</f>
        <v>3690.82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21366.38</v>
      </c>
      <c r="D44" s="95">
        <f>'DOE25'!G45</f>
        <v>0</v>
      </c>
      <c r="E44" s="95">
        <f>'DOE25'!H45</f>
        <v>3250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-3479.6</v>
      </c>
      <c r="F47" s="95">
        <f>'DOE25'!I48</f>
        <v>0</v>
      </c>
      <c r="G47" s="95">
        <f>'DOE25'!J48</f>
        <v>62053.29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48891.27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70257.649999999994</v>
      </c>
      <c r="D50" s="41">
        <f>SUM(D34:D49)</f>
        <v>0</v>
      </c>
      <c r="E50" s="41">
        <f>SUM(E34:E49)</f>
        <v>-229.59999999999991</v>
      </c>
      <c r="F50" s="41">
        <f>SUM(F34:F49)</f>
        <v>0</v>
      </c>
      <c r="G50" s="41">
        <f>SUM(G34:G49)</f>
        <v>62053.29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257472.81999999998</v>
      </c>
      <c r="D51" s="41">
        <f>D50+D31</f>
        <v>1558.15</v>
      </c>
      <c r="E51" s="41">
        <f>E50+E31</f>
        <v>3461.2200000000003</v>
      </c>
      <c r="F51" s="41">
        <f>F50+F31</f>
        <v>0</v>
      </c>
      <c r="G51" s="41">
        <f>G50+G31</f>
        <v>62053.29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3755673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413687.32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0.82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5.7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44722.01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344396.07</v>
      </c>
      <c r="D61" s="95">
        <f>SUM('DOE25'!G98:G110)</f>
        <v>0</v>
      </c>
      <c r="E61" s="95">
        <f>SUM('DOE25'!H98:H110)</f>
        <v>2012.5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758084.21</v>
      </c>
      <c r="D62" s="130">
        <f>SUM(D57:D61)</f>
        <v>44722.01</v>
      </c>
      <c r="E62" s="130">
        <f>SUM(E57:E61)</f>
        <v>2012.5</v>
      </c>
      <c r="F62" s="130">
        <f>SUM(F57:F61)</f>
        <v>0</v>
      </c>
      <c r="G62" s="130">
        <f>SUM(G57:G61)</f>
        <v>5.7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4513757.21</v>
      </c>
      <c r="D63" s="22">
        <f>D56+D62</f>
        <v>44722.01</v>
      </c>
      <c r="E63" s="22">
        <f>E56+E62</f>
        <v>2012.5</v>
      </c>
      <c r="F63" s="22">
        <f>F56+F62</f>
        <v>0</v>
      </c>
      <c r="G63" s="22">
        <f>G56+G62</f>
        <v>5.7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2175643.75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650907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2826550.75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27083.91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1858.3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27083.91</v>
      </c>
      <c r="D78" s="130">
        <f>SUM(D72:D77)</f>
        <v>1858.3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2853634.66</v>
      </c>
      <c r="D81" s="130">
        <f>SUM(D79:D80)+D78+D70</f>
        <v>1858.3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102406.96</v>
      </c>
      <c r="D88" s="95">
        <f>SUM('DOE25'!G153:G161)</f>
        <v>104789.99</v>
      </c>
      <c r="E88" s="95">
        <f>SUM('DOE25'!H153:H161)</f>
        <v>205713.47999999998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2320.96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104727.92000000001</v>
      </c>
      <c r="D91" s="131">
        <f>SUM(D85:D90)</f>
        <v>104789.99</v>
      </c>
      <c r="E91" s="131">
        <f>SUM(E85:E90)</f>
        <v>205713.47999999998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285.89999999999998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285.89999999999998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7472119.79</v>
      </c>
      <c r="D104" s="86">
        <f>D63+D81+D91+D103</f>
        <v>151656.20000000001</v>
      </c>
      <c r="E104" s="86">
        <f>E63+E81+E91+E103</f>
        <v>207725.97999999998</v>
      </c>
      <c r="F104" s="86">
        <f>F63+F81+F91+F103</f>
        <v>0</v>
      </c>
      <c r="G104" s="86">
        <f>G63+G81+G103</f>
        <v>5.7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3219224.5700000003</v>
      </c>
      <c r="D109" s="24" t="s">
        <v>288</v>
      </c>
      <c r="E109" s="95">
        <f>('DOE25'!L276)+('DOE25'!L295)+('DOE25'!L314)</f>
        <v>136539.78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1659619.1500000001</v>
      </c>
      <c r="D110" s="24" t="s">
        <v>288</v>
      </c>
      <c r="E110" s="95">
        <f>('DOE25'!L277)+('DOE25'!L296)+('DOE25'!L315)</f>
        <v>3344.75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176235.38999999998</v>
      </c>
      <c r="D112" s="24" t="s">
        <v>288</v>
      </c>
      <c r="E112" s="95">
        <f>+('DOE25'!L279)+('DOE25'!L298)+('DOE25'!L317)</f>
        <v>23272.7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72160.929999999993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5127240.04</v>
      </c>
      <c r="D115" s="86">
        <f>SUM(D109:D114)</f>
        <v>0</v>
      </c>
      <c r="E115" s="86">
        <f>SUM(E109:E114)</f>
        <v>163157.23000000001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696899.85</v>
      </c>
      <c r="D118" s="24" t="s">
        <v>288</v>
      </c>
      <c r="E118" s="95">
        <f>+('DOE25'!L281)+('DOE25'!L300)+('DOE25'!L319)</f>
        <v>16030.79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181845.06</v>
      </c>
      <c r="D119" s="24" t="s">
        <v>288</v>
      </c>
      <c r="E119" s="95">
        <f>+('DOE25'!L282)+('DOE25'!L301)+('DOE25'!L320)</f>
        <v>13603.95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365767.43999999994</v>
      </c>
      <c r="D120" s="24" t="s">
        <v>288</v>
      </c>
      <c r="E120" s="95">
        <f>+('DOE25'!L283)+('DOE25'!L302)+('DOE25'!L321)</f>
        <v>8656.7000000000007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396049.56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269.98</v>
      </c>
      <c r="D122" s="24" t="s">
        <v>288</v>
      </c>
      <c r="E122" s="95">
        <f>+('DOE25'!L285)+('DOE25'!L304)+('DOE25'!L323)</f>
        <v>3923.31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542203.73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189156.12</v>
      </c>
      <c r="D124" s="24" t="s">
        <v>288</v>
      </c>
      <c r="E124" s="95">
        <f>+('DOE25'!L287)+('DOE25'!L306)+('DOE25'!L325)</f>
        <v>2354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155448.5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2372191.7400000002</v>
      </c>
      <c r="D128" s="86">
        <f>SUM(D118:D127)</f>
        <v>155448.5</v>
      </c>
      <c r="E128" s="86">
        <f>SUM(E118:E127)</f>
        <v>44568.75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55300.49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285.89999999999998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5.7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-5.7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55586.39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7555018.1699999999</v>
      </c>
      <c r="D145" s="86">
        <f>(D115+D128+D144)</f>
        <v>155448.5</v>
      </c>
      <c r="E145" s="86">
        <f>(E115+E128+E144)</f>
        <v>207725.98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PLYMOUTH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18030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18030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3355764</v>
      </c>
      <c r="D10" s="182">
        <f>ROUND((C10/$C$28)*100,1)</f>
        <v>42.9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1662964</v>
      </c>
      <c r="D11" s="182">
        <f>ROUND((C11/$C$28)*100,1)</f>
        <v>21.3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199508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712931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195449</v>
      </c>
      <c r="D16" s="182">
        <f t="shared" si="0"/>
        <v>2.5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374424</v>
      </c>
      <c r="D17" s="182">
        <f t="shared" si="0"/>
        <v>4.8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396050</v>
      </c>
      <c r="D18" s="182">
        <f t="shared" si="0"/>
        <v>5.0999999999999996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4193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542204</v>
      </c>
      <c r="D20" s="182">
        <f t="shared" si="0"/>
        <v>6.9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191510</v>
      </c>
      <c r="D21" s="182">
        <f t="shared" si="0"/>
        <v>2.4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72161</v>
      </c>
      <c r="D24" s="182">
        <f t="shared" si="0"/>
        <v>0.9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110726.98999999999</v>
      </c>
      <c r="D27" s="182">
        <f t="shared" si="0"/>
        <v>1.4</v>
      </c>
    </row>
    <row r="28" spans="1:4" x14ac:dyDescent="0.2">
      <c r="B28" s="187" t="s">
        <v>722</v>
      </c>
      <c r="C28" s="180">
        <f>SUM(C10:C27)</f>
        <v>7817884.9900000002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55300</v>
      </c>
    </row>
    <row r="30" spans="1:4" x14ac:dyDescent="0.2">
      <c r="B30" s="187" t="s">
        <v>728</v>
      </c>
      <c r="C30" s="180">
        <f>SUM(C28:C29)</f>
        <v>7873184.9900000002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3755673</v>
      </c>
      <c r="D35" s="182">
        <f t="shared" ref="D35:D40" si="1">ROUND((C35/$C$41)*100,1)</f>
        <v>48.2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760102.41000000015</v>
      </c>
      <c r="D36" s="182">
        <f t="shared" si="1"/>
        <v>9.8000000000000007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2826551</v>
      </c>
      <c r="D37" s="182">
        <f t="shared" si="1"/>
        <v>36.299999999999997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28942</v>
      </c>
      <c r="D38" s="182">
        <f t="shared" si="1"/>
        <v>0.4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415231</v>
      </c>
      <c r="D39" s="182">
        <f t="shared" si="1"/>
        <v>5.3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7786499.4100000001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PLYMOUTH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2017-08-15T17:32:48Z</cp:lastPrinted>
  <dcterms:created xsi:type="dcterms:W3CDTF">1997-12-04T19:04:30Z</dcterms:created>
  <dcterms:modified xsi:type="dcterms:W3CDTF">2017-11-29T18:01:48Z</dcterms:modified>
</cp:coreProperties>
</file>