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0340" windowHeight="754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C45" i="2" l="1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E16" i="13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C124" i="2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/>
  <c r="L611" i="1"/>
  <c r="F663" i="1"/>
  <c r="C40" i="10"/>
  <c r="F60" i="1"/>
  <c r="G60" i="1"/>
  <c r="H60" i="1"/>
  <c r="I60" i="1"/>
  <c r="F79" i="1"/>
  <c r="F94" i="1"/>
  <c r="F111" i="1"/>
  <c r="G111" i="1"/>
  <c r="G112" i="1"/>
  <c r="H79" i="1"/>
  <c r="H94" i="1"/>
  <c r="H111" i="1"/>
  <c r="I111" i="1"/>
  <c r="I112" i="1"/>
  <c r="J111" i="1"/>
  <c r="J112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F662" i="1"/>
  <c r="G662" i="1"/>
  <c r="H662" i="1"/>
  <c r="I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/>
  <c r="L522" i="1"/>
  <c r="F550" i="1"/>
  <c r="L523" i="1"/>
  <c r="F551" i="1"/>
  <c r="L526" i="1"/>
  <c r="G549" i="1"/>
  <c r="L527" i="1"/>
  <c r="G550" i="1"/>
  <c r="L528" i="1"/>
  <c r="G551" i="1"/>
  <c r="L531" i="1"/>
  <c r="H549" i="1"/>
  <c r="L532" i="1"/>
  <c r="H550" i="1"/>
  <c r="K550" i="1"/>
  <c r="L533" i="1"/>
  <c r="H551" i="1"/>
  <c r="L536" i="1"/>
  <c r="I549" i="1"/>
  <c r="L537" i="1"/>
  <c r="I550" i="1"/>
  <c r="L538" i="1"/>
  <c r="I551" i="1"/>
  <c r="L541" i="1"/>
  <c r="J549" i="1"/>
  <c r="L542" i="1"/>
  <c r="J550" i="1"/>
  <c r="L543" i="1"/>
  <c r="J551" i="1"/>
  <c r="E132" i="2"/>
  <c r="E131" i="2"/>
  <c r="K270" i="1"/>
  <c r="L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D18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D81" i="2"/>
  <c r="E77" i="2"/>
  <c r="F77" i="2"/>
  <c r="G77" i="2"/>
  <c r="G78" i="2"/>
  <c r="G81" i="2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E112" i="2"/>
  <c r="C113" i="2"/>
  <c r="E113" i="2"/>
  <c r="C114" i="2"/>
  <c r="E114" i="2"/>
  <c r="D115" i="2"/>
  <c r="F115" i="2"/>
  <c r="G115" i="2"/>
  <c r="E119" i="2"/>
  <c r="E120" i="2"/>
  <c r="E121" i="2"/>
  <c r="E122" i="2"/>
  <c r="E123" i="2"/>
  <c r="E124" i="2"/>
  <c r="E125" i="2"/>
  <c r="F128" i="2"/>
  <c r="G128" i="2"/>
  <c r="C130" i="2"/>
  <c r="E130" i="2"/>
  <c r="F130" i="2"/>
  <c r="F144" i="2" s="1"/>
  <c r="F145" i="2" s="1"/>
  <c r="D134" i="2"/>
  <c r="D144" i="2"/>
  <c r="E13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617" i="1"/>
  <c r="J617" i="1"/>
  <c r="G19" i="1"/>
  <c r="H19" i="1"/>
  <c r="G619" i="1"/>
  <c r="I19" i="1"/>
  <c r="F32" i="1"/>
  <c r="F52" i="1"/>
  <c r="G32" i="1"/>
  <c r="H32" i="1"/>
  <c r="I32" i="1"/>
  <c r="H617" i="1"/>
  <c r="G52" i="1"/>
  <c r="H618" i="1"/>
  <c r="H51" i="1"/>
  <c r="H52" i="1"/>
  <c r="H619" i="1"/>
  <c r="I51" i="1"/>
  <c r="I52" i="1"/>
  <c r="H620" i="1"/>
  <c r="F177" i="1"/>
  <c r="F192" i="1"/>
  <c r="I177" i="1"/>
  <c r="F183" i="1"/>
  <c r="G183" i="1"/>
  <c r="H183" i="1"/>
  <c r="I183" i="1"/>
  <c r="J183" i="1"/>
  <c r="J192" i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/>
  <c r="G636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/>
  <c r="J645" i="1"/>
  <c r="H408" i="1"/>
  <c r="I408" i="1"/>
  <c r="L413" i="1"/>
  <c r="L414" i="1"/>
  <c r="L419" i="1"/>
  <c r="L415" i="1"/>
  <c r="L416" i="1"/>
  <c r="L417" i="1"/>
  <c r="L418" i="1"/>
  <c r="F419" i="1"/>
  <c r="G419" i="1"/>
  <c r="H419" i="1"/>
  <c r="I419" i="1"/>
  <c r="J419" i="1"/>
  <c r="L421" i="1"/>
  <c r="L427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G641" i="1"/>
  <c r="F452" i="1"/>
  <c r="G452" i="1"/>
  <c r="H452" i="1"/>
  <c r="I452" i="1"/>
  <c r="F460" i="1"/>
  <c r="G460" i="1"/>
  <c r="H460" i="1"/>
  <c r="I460" i="1"/>
  <c r="F461" i="1"/>
  <c r="H639" i="1"/>
  <c r="J639" i="1"/>
  <c r="G461" i="1"/>
  <c r="H461" i="1"/>
  <c r="H641" i="1"/>
  <c r="I461" i="1"/>
  <c r="F470" i="1"/>
  <c r="F476" i="1"/>
  <c r="H622" i="1"/>
  <c r="J622" i="1"/>
  <c r="G470" i="1"/>
  <c r="H470" i="1"/>
  <c r="H476" i="1"/>
  <c r="H624" i="1"/>
  <c r="I470" i="1"/>
  <c r="J470" i="1"/>
  <c r="F474" i="1"/>
  <c r="G474" i="1"/>
  <c r="G476" i="1"/>
  <c r="H623" i="1"/>
  <c r="J623" i="1"/>
  <c r="H474" i="1"/>
  <c r="I474" i="1"/>
  <c r="I476" i="1"/>
  <c r="H625" i="1"/>
  <c r="J625" i="1"/>
  <c r="J474" i="1"/>
  <c r="J476" i="1"/>
  <c r="H626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K545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I571" i="1"/>
  <c r="J560" i="1"/>
  <c r="J571" i="1"/>
  <c r="K560" i="1"/>
  <c r="K571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J651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G640" i="1"/>
  <c r="H640" i="1"/>
  <c r="H642" i="1"/>
  <c r="G643" i="1"/>
  <c r="J643" i="1"/>
  <c r="H643" i="1"/>
  <c r="G644" i="1"/>
  <c r="H644" i="1"/>
  <c r="J644" i="1"/>
  <c r="G645" i="1"/>
  <c r="G649" i="1"/>
  <c r="G651" i="1"/>
  <c r="G652" i="1"/>
  <c r="H652" i="1"/>
  <c r="G653" i="1"/>
  <c r="H653" i="1"/>
  <c r="G654" i="1"/>
  <c r="H654" i="1"/>
  <c r="H655" i="1"/>
  <c r="J655" i="1"/>
  <c r="L256" i="1"/>
  <c r="G164" i="2"/>
  <c r="C18" i="2"/>
  <c r="C26" i="10"/>
  <c r="L351" i="1"/>
  <c r="A31" i="12"/>
  <c r="D62" i="2"/>
  <c r="D63" i="2"/>
  <c r="D18" i="13"/>
  <c r="C18" i="13"/>
  <c r="D15" i="13"/>
  <c r="C15" i="13"/>
  <c r="D17" i="13"/>
  <c r="C17" i="13"/>
  <c r="C91" i="2"/>
  <c r="F78" i="2"/>
  <c r="F81" i="2"/>
  <c r="D31" i="2"/>
  <c r="C78" i="2"/>
  <c r="D50" i="2"/>
  <c r="F18" i="2"/>
  <c r="G156" i="2"/>
  <c r="E103" i="2"/>
  <c r="D91" i="2"/>
  <c r="E62" i="2"/>
  <c r="E31" i="2"/>
  <c r="G62" i="2"/>
  <c r="D19" i="13"/>
  <c r="C19" i="13"/>
  <c r="E78" i="2"/>
  <c r="H112" i="1"/>
  <c r="F112" i="1"/>
  <c r="L433" i="1"/>
  <c r="I169" i="1"/>
  <c r="H169" i="1"/>
  <c r="F169" i="1"/>
  <c r="J140" i="1"/>
  <c r="F571" i="1"/>
  <c r="I552" i="1"/>
  <c r="G22" i="2"/>
  <c r="J552" i="1"/>
  <c r="C29" i="10"/>
  <c r="H140" i="1"/>
  <c r="L401" i="1"/>
  <c r="C139" i="2"/>
  <c r="L393" i="1"/>
  <c r="F22" i="13"/>
  <c r="H25" i="13"/>
  <c r="C25" i="13"/>
  <c r="J640" i="1"/>
  <c r="H192" i="1"/>
  <c r="C35" i="10"/>
  <c r="J636" i="1"/>
  <c r="G36" i="2"/>
  <c r="C22" i="13"/>
  <c r="C138" i="2"/>
  <c r="H33" i="13"/>
  <c r="K551" i="1"/>
  <c r="H552" i="1"/>
  <c r="L534" i="1"/>
  <c r="G552" i="1"/>
  <c r="J545" i="1"/>
  <c r="I545" i="1"/>
  <c r="G545" i="1"/>
  <c r="L529" i="1"/>
  <c r="K549" i="1"/>
  <c r="K552" i="1"/>
  <c r="I446" i="1"/>
  <c r="G642" i="1"/>
  <c r="F552" i="1"/>
  <c r="L524" i="1"/>
  <c r="H545" i="1"/>
  <c r="H571" i="1"/>
  <c r="L560" i="1"/>
  <c r="L565" i="1"/>
  <c r="L570" i="1"/>
  <c r="L614" i="1"/>
  <c r="K598" i="1"/>
  <c r="G647" i="1"/>
  <c r="J649" i="1"/>
  <c r="K605" i="1"/>
  <c r="G648" i="1"/>
  <c r="E81" i="2"/>
  <c r="L328" i="1"/>
  <c r="H660" i="1"/>
  <c r="H664" i="1"/>
  <c r="H667" i="1"/>
  <c r="F338" i="1"/>
  <c r="F352" i="1"/>
  <c r="E118" i="2"/>
  <c r="E128" i="2"/>
  <c r="K338" i="1"/>
  <c r="K352" i="1"/>
  <c r="J338" i="1"/>
  <c r="J352" i="1"/>
  <c r="L309" i="1"/>
  <c r="G660" i="1"/>
  <c r="H338" i="1"/>
  <c r="H352" i="1"/>
  <c r="G338" i="1"/>
  <c r="G352" i="1"/>
  <c r="E109" i="2"/>
  <c r="E115" i="2"/>
  <c r="L290" i="1"/>
  <c r="C62" i="2"/>
  <c r="C63" i="2"/>
  <c r="E63" i="2"/>
  <c r="J634" i="1"/>
  <c r="L362" i="1"/>
  <c r="C27" i="10"/>
  <c r="F661" i="1"/>
  <c r="D29" i="13"/>
  <c r="C29" i="13"/>
  <c r="G661" i="1"/>
  <c r="D127" i="2"/>
  <c r="D128" i="2"/>
  <c r="D145" i="2"/>
  <c r="H661" i="1"/>
  <c r="G192" i="1"/>
  <c r="C123" i="2"/>
  <c r="C122" i="2"/>
  <c r="C16" i="10"/>
  <c r="C110" i="2"/>
  <c r="L247" i="1"/>
  <c r="C109" i="2"/>
  <c r="C17" i="10"/>
  <c r="C125" i="2"/>
  <c r="G650" i="1"/>
  <c r="H647" i="1"/>
  <c r="D14" i="13"/>
  <c r="C14" i="13"/>
  <c r="E13" i="13"/>
  <c r="C13" i="13"/>
  <c r="C19" i="10"/>
  <c r="C18" i="10"/>
  <c r="K257" i="1"/>
  <c r="K271" i="1"/>
  <c r="C120" i="2"/>
  <c r="D7" i="13"/>
  <c r="C7" i="13"/>
  <c r="C119" i="2"/>
  <c r="C15" i="10"/>
  <c r="L229" i="1"/>
  <c r="C13" i="10"/>
  <c r="C111" i="2"/>
  <c r="J257" i="1"/>
  <c r="J271" i="1"/>
  <c r="I257" i="1"/>
  <c r="I271" i="1"/>
  <c r="H257" i="1"/>
  <c r="H271" i="1"/>
  <c r="G257" i="1"/>
  <c r="G271" i="1"/>
  <c r="C10" i="10"/>
  <c r="J647" i="1"/>
  <c r="D12" i="13"/>
  <c r="C12" i="13"/>
  <c r="C121" i="2"/>
  <c r="E8" i="13"/>
  <c r="C8" i="13" s="1"/>
  <c r="D6" i="13"/>
  <c r="C6" i="13"/>
  <c r="C118" i="2"/>
  <c r="C112" i="2"/>
  <c r="L211" i="1"/>
  <c r="D5" i="13"/>
  <c r="C5" i="13"/>
  <c r="J641" i="1"/>
  <c r="C16" i="13"/>
  <c r="C81" i="2"/>
  <c r="G624" i="1"/>
  <c r="J624" i="1"/>
  <c r="K500" i="1"/>
  <c r="L337" i="1"/>
  <c r="F62" i="2"/>
  <c r="F63" i="2"/>
  <c r="C23" i="10"/>
  <c r="G163" i="2"/>
  <c r="G162" i="2"/>
  <c r="G160" i="2"/>
  <c r="G159" i="2"/>
  <c r="G158" i="2"/>
  <c r="G103" i="2"/>
  <c r="F103" i="2"/>
  <c r="C103" i="2"/>
  <c r="F91" i="2"/>
  <c r="E50" i="2"/>
  <c r="E51" i="2"/>
  <c r="C50" i="2"/>
  <c r="F31" i="2"/>
  <c r="C31" i="2"/>
  <c r="E18" i="2"/>
  <c r="E144" i="2"/>
  <c r="F50" i="2"/>
  <c r="F51" i="2"/>
  <c r="C24" i="10"/>
  <c r="G31" i="13"/>
  <c r="G33" i="13"/>
  <c r="I338" i="1"/>
  <c r="I352" i="1"/>
  <c r="J650" i="1"/>
  <c r="L407" i="1"/>
  <c r="C140" i="2"/>
  <c r="C141" i="2"/>
  <c r="C144" i="2"/>
  <c r="I192" i="1"/>
  <c r="E91" i="2"/>
  <c r="D51" i="2"/>
  <c r="J654" i="1"/>
  <c r="J653" i="1"/>
  <c r="G21" i="2"/>
  <c r="G31" i="2"/>
  <c r="J32" i="1"/>
  <c r="L434" i="1"/>
  <c r="G638" i="1"/>
  <c r="J638" i="1"/>
  <c r="J434" i="1"/>
  <c r="F434" i="1"/>
  <c r="K434" i="1"/>
  <c r="G134" i="2"/>
  <c r="G144" i="2"/>
  <c r="G145" i="2"/>
  <c r="F31" i="13"/>
  <c r="J193" i="1"/>
  <c r="G646" i="1"/>
  <c r="F104" i="2"/>
  <c r="H193" i="1"/>
  <c r="G629" i="1"/>
  <c r="J629" i="1"/>
  <c r="G169" i="1"/>
  <c r="C39" i="10"/>
  <c r="G140" i="1"/>
  <c r="F140" i="1"/>
  <c r="F193" i="1"/>
  <c r="G627" i="1"/>
  <c r="J627" i="1"/>
  <c r="C36" i="10"/>
  <c r="G63" i="2"/>
  <c r="G104" i="2"/>
  <c r="J618" i="1"/>
  <c r="G42" i="2"/>
  <c r="G50" i="2"/>
  <c r="G51" i="2"/>
  <c r="J51" i="1"/>
  <c r="G16" i="2"/>
  <c r="J19" i="1"/>
  <c r="G621" i="1"/>
  <c r="F33" i="13"/>
  <c r="G18" i="2"/>
  <c r="F545" i="1"/>
  <c r="H434" i="1"/>
  <c r="J620" i="1"/>
  <c r="J619" i="1"/>
  <c r="D103" i="2"/>
  <c r="D104" i="2"/>
  <c r="I140" i="1"/>
  <c r="I193" i="1"/>
  <c r="G630" i="1"/>
  <c r="J630" i="1"/>
  <c r="A22" i="12"/>
  <c r="J652" i="1"/>
  <c r="J642" i="1"/>
  <c r="G571" i="1"/>
  <c r="I434" i="1"/>
  <c r="G434" i="1"/>
  <c r="I663" i="1"/>
  <c r="L545" i="1"/>
  <c r="L408" i="1"/>
  <c r="L571" i="1"/>
  <c r="E104" i="2"/>
  <c r="L338" i="1"/>
  <c r="L352" i="1"/>
  <c r="G633" i="1"/>
  <c r="J633" i="1"/>
  <c r="E145" i="2"/>
  <c r="D31" i="13"/>
  <c r="C31" i="13"/>
  <c r="C104" i="2"/>
  <c r="G635" i="1"/>
  <c r="J635" i="1"/>
  <c r="G664" i="1"/>
  <c r="G667" i="1"/>
  <c r="I661" i="1"/>
  <c r="C115" i="2"/>
  <c r="H672" i="1"/>
  <c r="C6" i="10" s="1"/>
  <c r="C128" i="2"/>
  <c r="C145" i="2"/>
  <c r="L257" i="1"/>
  <c r="L271" i="1"/>
  <c r="G632" i="1"/>
  <c r="J632" i="1"/>
  <c r="H648" i="1"/>
  <c r="J648" i="1"/>
  <c r="C28" i="10"/>
  <c r="D24" i="10"/>
  <c r="F660" i="1"/>
  <c r="C51" i="2"/>
  <c r="G631" i="1"/>
  <c r="J631" i="1"/>
  <c r="G193" i="1"/>
  <c r="G628" i="1"/>
  <c r="J628" i="1"/>
  <c r="G626" i="1"/>
  <c r="J626" i="1"/>
  <c r="J52" i="1"/>
  <c r="H621" i="1"/>
  <c r="J621" i="1"/>
  <c r="C38" i="10"/>
  <c r="G637" i="1"/>
  <c r="J637" i="1"/>
  <c r="H646" i="1"/>
  <c r="J646" i="1"/>
  <c r="D33" i="13"/>
  <c r="D36" i="13" s="1"/>
  <c r="G672" i="1"/>
  <c r="C5" i="10"/>
  <c r="D23" i="10"/>
  <c r="D10" i="10"/>
  <c r="C30" i="10"/>
  <c r="D26" i="10"/>
  <c r="D16" i="10"/>
  <c r="D13" i="10"/>
  <c r="D11" i="10"/>
  <c r="D21" i="10"/>
  <c r="D22" i="10"/>
  <c r="D27" i="10"/>
  <c r="D20" i="10"/>
  <c r="D18" i="10"/>
  <c r="D15" i="10"/>
  <c r="D17" i="10"/>
  <c r="D25" i="10"/>
  <c r="D12" i="10"/>
  <c r="D19" i="10"/>
  <c r="F664" i="1"/>
  <c r="I660" i="1"/>
  <c r="I664" i="1"/>
  <c r="I672" i="1"/>
  <c r="C7" i="10" s="1"/>
  <c r="C41" i="10"/>
  <c r="D38" i="10"/>
  <c r="H656" i="1"/>
  <c r="D28" i="10"/>
  <c r="I667" i="1"/>
  <c r="F672" i="1"/>
  <c r="C4" i="10" s="1"/>
  <c r="F667" i="1"/>
  <c r="D37" i="10"/>
  <c r="D36" i="10"/>
  <c r="D35" i="10"/>
  <c r="D40" i="10"/>
  <c r="D39" i="10"/>
  <c r="D41" i="10"/>
  <c r="E33" i="13" l="1"/>
  <c r="D35" i="13" s="1"/>
  <c r="A40" i="12"/>
  <c r="A13" i="12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<sst xmlns="http://schemas.openxmlformats.org/spreadsheetml/2006/main" count="3957" uniqueCount="915">
  <si>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</si>
  <si>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</si>
  <si>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</si>
  <si>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</si>
  <si>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</si>
  <si>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</si>
  <si>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</si>
  <si>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</si>
  <si>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</si>
  <si>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</si>
  <si>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</si>
  <si>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</si>
  <si>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</si>
  <si>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</si>
  <si>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</si>
  <si>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</si>
  <si>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</si>
  <si>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</si>
  <si>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</si>
  <si>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</si>
  <si>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</si>
  <si>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</si>
  <si>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</si>
  <si>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</si>
  <si>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</si>
  <si>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</si>
  <si>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</si>
  <si>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</si>
  <si>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</si>
  <si>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</si>
  <si>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</si>
  <si>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</si>
  <si>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</si>
  <si>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</si>
  <si>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</si>
  <si>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</si>
  <si>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</si>
  <si>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</si>
  <si>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</si>
  <si>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</si>
  <si>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</si>
  <si>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</si>
  <si>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</si>
  <si>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</si>
  <si>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</si>
  <si>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</si>
  <si>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</si>
  <si>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</si>
  <si>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</si>
  <si>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</si>
  <si>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</si>
  <si>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</si>
  <si>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</si>
  <si>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</si>
  <si>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</si>
  <si>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</si>
  <si>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</si>
  <si>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</si>
  <si>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</si>
  <si>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</si>
  <si>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</si>
  <si>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</si>
  <si>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</si>
  <si>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</si>
  <si>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</si>
  <si>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</si>
  <si>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</si>
  <si>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</si>
  <si>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</si>
  <si>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</si>
  <si>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</si>
  <si>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</si>
  <si>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</si>
  <si>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</si>
  <si>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</si>
  <si>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</si>
  <si>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</si>
  <si>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</si>
  <si>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</si>
  <si>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</si>
  <si>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</si>
  <si>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</si>
  <si>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</si>
  <si>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</si>
  <si>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</si>
  <si>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</si>
  <si>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</si>
  <si>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</si>
  <si>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</si>
  <si>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</si>
  <si>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</si>
  <si>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</si>
  <si>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</si>
  <si>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</si>
  <si>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</si>
  <si>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</si>
  <si>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</si>
  <si>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</si>
  <si>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</si>
  <si>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</si>
  <si>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</si>
  <si>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</si>
  <si>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</si>
  <si>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</si>
  <si>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</si>
  <si>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</si>
  <si>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</si>
  <si>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</si>
  <si>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</si>
  <si>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</si>
  <si>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</si>
  <si>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</si>
  <si>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</si>
  <si>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</si>
  <si>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</si>
  <si>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</si>
  <si>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</si>
  <si>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</si>
  <si>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</si>
  <si>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</si>
  <si>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</si>
  <si>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</si>
  <si>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</si>
  <si>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</si>
  <si>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</si>
  <si>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</si>
  <si>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</si>
  <si>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</si>
  <si>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</si>
  <si>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</si>
  <si>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</si>
  <si>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</si>
  <si>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</si>
  <si>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</si>
  <si>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</si>
  <si>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</si>
  <si>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</si>
  <si>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</si>
  <si>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</si>
  <si>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</si>
  <si>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</si>
  <si>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</si>
  <si>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</si>
  <si>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</si>
  <si>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</si>
  <si>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</si>
  <si>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</si>
  <si>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</si>
  <si>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</si>
  <si>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</si>
  <si>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</si>
  <si>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</si>
  <si>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</si>
  <si>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</si>
  <si>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</si>
  <si>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</si>
  <si>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</si>
  <si>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</si>
  <si>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</si>
  <si>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</si>
  <si>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</si>
  <si>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</si>
  <si>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</si>
  <si>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</si>
  <si>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</si>
  <si>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</si>
  <si>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</si>
  <si>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</si>
  <si>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</si>
  <si>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</si>
  <si>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</si>
  <si>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</si>
  <si>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</si>
  <si>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</si>
  <si>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</si>
  <si>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</si>
  <si>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</si>
  <si>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</si>
  <si>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</si>
  <si>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</si>
  <si>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</si>
  <si>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</si>
  <si>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</si>
  <si>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</si>
  <si>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</si>
  <si>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</si>
  <si>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</si>
  <si>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</si>
  <si>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</si>
  <si>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</si>
  <si>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</si>
  <si>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</si>
  <si>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</si>
  <si>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</si>
  <si>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</si>
  <si>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</si>
  <si>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</si>
  <si>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</si>
  <si>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</si>
  <si>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</si>
  <si>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</si>
  <si>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</si>
  <si>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</si>
  <si>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</si>
  <si>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</si>
  <si>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</si>
  <si>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</si>
  <si>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</si>
  <si>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</si>
  <si>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</si>
  <si>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</si>
  <si>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</si>
  <si>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</si>
  <si>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</si>
  <si>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</si>
  <si>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</si>
  <si>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</si>
  <si>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</si>
  <si>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</si>
  <si>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</si>
  <si>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</si>
  <si>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</si>
  <si>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</si>
  <si>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</si>
  <si>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</si>
  <si>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</si>
  <si>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</si>
  <si>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</si>
  <si>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</si>
  <si>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</si>
  <si>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</si>
  <si>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</si>
  <si>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</si>
  <si>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</si>
  <si>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</si>
  <si>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</si>
  <si>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</si>
  <si>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</si>
  <si>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</si>
  <si>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</si>
  <si>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</si>
  <si>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</si>
  <si>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</si>
  <si>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</si>
  <si>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</si>
  <si>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</si>
  <si>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</si>
  <si>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</si>
  <si>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</si>
  <si>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</si>
  <si>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</si>
  <si>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</si>
  <si>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</si>
  <si>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</si>
  <si>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</si>
  <si>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</si>
  <si>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</si>
  <si>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</si>
  <si>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</si>
  <si>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</si>
  <si>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</si>
  <si>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</si>
  <si>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</si>
  <si>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</si>
  <si>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</si>
  <si>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</si>
  <si>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</si>
  <si>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</si>
  <si>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</si>
  <si>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</si>
  <si>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</si>
  <si>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</si>
  <si>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</si>
  <si>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</si>
  <si>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</si>
  <si>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</si>
  <si>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</si>
  <si>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</si>
  <si>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</si>
  <si>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</si>
  <si>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</si>
  <si>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</si>
  <si>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</si>
  <si>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</si>
  <si>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</si>
  <si>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</si>
  <si>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</si>
  <si>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</si>
  <si>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</si>
  <si>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</si>
  <si>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</si>
  <si>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</si>
  <si>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</si>
  <si>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</si>
  <si>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</si>
  <si>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</si>
  <si>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</si>
  <si>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</si>
  <si>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</si>
  <si>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</si>
  <si>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</si>
  <si>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</si>
  <si>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</si>
  <si>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</si>
  <si>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</si>
  <si>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</si>
  <si>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</si>
  <si>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</si>
  <si>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</si>
  <si>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</si>
  <si>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</si>
  <si>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</si>
  <si>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</si>
  <si>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</si>
  <si>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</si>
  <si>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</si>
  <si>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</si>
  <si>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</si>
  <si>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</si>
  <si>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</si>
  <si>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</si>
  <si>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</si>
  <si>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</si>
  <si>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</si>
  <si>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</si>
  <si>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</si>
  <si>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</si>
  <si>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</si>
  <si>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</si>
  <si>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</si>
  <si>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</si>
  <si>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</si>
  <si>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</si>
  <si>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</si>
  <si>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</si>
  <si>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</si>
  <si>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</si>
  <si>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</si>
  <si>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</si>
  <si>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</si>
  <si>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</si>
  <si>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</si>
  <si>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</si>
  <si>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</si>
  <si>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</si>
  <si>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</si>
  <si>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</si>
  <si>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</si>
  <si>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</si>
  <si>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</si>
  <si>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</si>
  <si>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</si>
  <si>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</si>
  <si>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</si>
  <si>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</si>
  <si>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</si>
  <si>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</si>
  <si>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</si>
  <si>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</si>
  <si>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</si>
  <si>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</si>
  <si>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</si>
  <si>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</si>
  <si>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</si>
  <si>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</si>
  <si>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</si>
  <si>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</si>
  <si>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</si>
  <si>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</si>
  <si>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</si>
  <si>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</si>
  <si>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</si>
  <si>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</si>
  <si>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</si>
  <si>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</si>
  <si>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</si>
  <si>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</si>
  <si>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</si>
  <si>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</si>
  <si>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</si>
  <si>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</si>
  <si>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</si>
  <si>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</si>
  <si>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</si>
  <si>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</si>
  <si>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</si>
  <si>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</si>
  <si>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</si>
  <si>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</si>
  <si>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</si>
  <si>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</si>
  <si>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</si>
  <si>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</si>
  <si>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</si>
  <si>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</si>
  <si>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</si>
  <si>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</si>
  <si>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</si>
  <si>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</si>
  <si>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</si>
  <si>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</si>
  <si>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</si>
  <si>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</si>
  <si>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</si>
  <si>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</si>
  <si>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</si>
  <si>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</si>
  <si>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</si>
  <si>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</si>
  <si>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</si>
  <si>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</si>
  <si>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</si>
  <si>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</si>
  <si>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</si>
  <si>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</si>
  <si>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</si>
  <si>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</si>
  <si>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</si>
  <si>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</si>
  <si>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</si>
  <si>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</si>
  <si>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</si>
  <si>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</si>
  <si>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</si>
  <si>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</si>
  <si>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</si>
  <si>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</si>
  <si>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</si>
  <si>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</si>
  <si>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</si>
  <si>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</si>
  <si>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</si>
  <si>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</si>
  <si>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</si>
  <si>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</si>
  <si>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</si>
  <si>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</si>
  <si>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</si>
  <si>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</si>
  <si>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</si>
  <si>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</si>
  <si>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</si>
  <si>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</si>
  <si>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</si>
  <si>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</si>
  <si>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</si>
  <si>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</si>
  <si>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</si>
  <si>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</si>
  <si>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</si>
  <si>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</si>
  <si>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</si>
  <si>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</si>
  <si>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</si>
  <si>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</si>
  <si>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</si>
  <si>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</si>
  <si>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</si>
  <si>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</si>
  <si>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</si>
  <si>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</si>
  <si>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</si>
  <si>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</si>
  <si>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</si>
  <si>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</si>
  <si>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</si>
  <si>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</si>
  <si>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</si>
  <si>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</si>
  <si>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</si>
  <si>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</si>
  <si>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</si>
  <si>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</si>
  <si>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</si>
  <si>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</si>
  <si>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</si>
  <si>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</si>
  <si>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</si>
  <si>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</si>
  <si>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</si>
  <si>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</si>
  <si>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</si>
  <si>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</si>
  <si>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</si>
  <si>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</si>
  <si>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</si>
  <si>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</si>
  <si>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</si>
  <si>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</si>
  <si>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</si>
  <si>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</si>
  <si>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</si>
  <si>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</si>
  <si>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</si>
  <si>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</si>
  <si>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</si>
  <si>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</si>
  <si>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</si>
  <si>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</si>
  <si>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</si>
  <si>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</si>
  <si>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</si>
  <si>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</si>
  <si>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</si>
  <si>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</si>
  <si>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</si>
  <si>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</si>
  <si>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</si>
  <si>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</si>
  <si>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</si>
  <si>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</si>
  <si>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</si>
  <si>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</si>
  <si>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</si>
  <si>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</si>
  <si>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</si>
  <si>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</si>
  <si>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</si>
  <si>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</si>
  <si>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</si>
  <si>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</si>
  <si>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</si>
  <si>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</si>
  <si>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</si>
  <si>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</si>
  <si>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</si>
  <si>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</si>
  <si>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</si>
  <si>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</si>
  <si>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</si>
  <si>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</si>
  <si>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</si>
  <si>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</si>
  <si>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</si>
  <si>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</si>
  <si>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</si>
  <si>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</si>
  <si>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</si>
  <si>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</si>
  <si>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</si>
  <si>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</si>
  <si>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</si>
  <si>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</si>
  <si>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</si>
  <si>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</si>
  <si>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</si>
  <si>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</si>
  <si>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</si>
  <si>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</si>
  <si>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</si>
  <si>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</si>
  <si>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</si>
  <si>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</si>
  <si>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</si>
  <si>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</si>
  <si>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</si>
  <si>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</si>
  <si>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</si>
  <si>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</si>
  <si>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</si>
  <si>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</si>
  <si>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</si>
  <si>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</si>
  <si>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</si>
  <si>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</si>
  <si>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</si>
  <si>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</si>
  <si>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</si>
  <si>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</si>
  <si>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</si>
  <si>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</si>
  <si>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</si>
  <si>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</si>
  <si>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</si>
  <si>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</si>
  <si>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</si>
  <si>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</si>
  <si>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</si>
  <si>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</si>
  <si>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</si>
  <si>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</si>
  <si>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</si>
  <si>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</si>
  <si>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</si>
  <si>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</si>
  <si>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</si>
  <si>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</si>
  <si>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</si>
  <si>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</si>
  <si>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</si>
  <si>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</si>
  <si>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</si>
  <si>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</si>
  <si>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</si>
  <si>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</si>
  <si>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</si>
  <si>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</si>
  <si>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</si>
  <si>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</si>
  <si>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</si>
  <si>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</si>
  <si>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</si>
  <si>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</si>
  <si>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</si>
  <si>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</si>
  <si>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</si>
  <si>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</si>
  <si>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</si>
  <si>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</si>
  <si>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</si>
  <si>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</si>
  <si>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</si>
  <si>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</si>
  <si>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</si>
  <si>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</si>
  <si>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</si>
  <si>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</si>
  <si>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</si>
  <si>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</si>
  <si>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</si>
  <si>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</si>
  <si>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</si>
  <si>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</si>
  <si>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</si>
  <si>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</si>
  <si>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</si>
  <si>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</si>
  <si>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</si>
  <si>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</si>
  <si>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</si>
  <si>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</si>
  <si>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</si>
  <si>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</si>
  <si>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</si>
  <si>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</si>
  <si>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</si>
  <si>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</si>
  <si>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</si>
  <si>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</si>
  <si>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</si>
  <si>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</si>
  <si>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</si>
  <si>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</si>
  <si>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</si>
  <si>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</si>
  <si>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</si>
  <si>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</si>
  <si>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</si>
  <si>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</si>
  <si>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</si>
  <si>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</si>
  <si>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</si>
  <si>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</si>
  <si>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</si>
  <si>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</si>
  <si>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</si>
  <si>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</si>
  <si>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</si>
  <si>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</si>
  <si>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</si>
  <si>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</si>
  <si>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</si>
  <si>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</si>
  <si>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</si>
  <si>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</si>
  <si>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</si>
  <si>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</si>
  <si>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</si>
  <si>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</si>
  <si>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</si>
  <si>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</si>
  <si>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</si>
  <si>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</si>
  <si>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</si>
  <si>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</si>
  <si>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</si>
  <si>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</si>
  <si>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</si>
  <si>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</si>
  <si>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</si>
  <si>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</si>
  <si>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</si>
  <si>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</si>
  <si>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</si>
  <si>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</si>
  <si>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</si>
  <si>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</si>
  <si>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</si>
  <si>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</si>
  <si>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</si>
  <si>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</si>
  <si>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</si>
  <si>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</si>
  <si>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</si>
  <si>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</si>
  <si>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</si>
  <si>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</si>
  <si>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</si>
  <si>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</si>
  <si>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</si>
  <si>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</si>
  <si>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</si>
  <si>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</si>
  <si>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</si>
  <si>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</si>
  <si>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</si>
  <si>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</si>
  <si>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</si>
  <si>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</si>
  <si>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</si>
  <si>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</si>
  <si>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</si>
  <si>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</si>
  <si>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</si>
  <si>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</si>
  <si>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</si>
  <si>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</si>
  <si>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</si>
  <si>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</si>
  <si>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</si>
  <si>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</si>
  <si>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</si>
  <si>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</si>
  <si>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</si>
  <si>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</si>
  <si>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</si>
  <si>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</si>
  <si>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</si>
  <si>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</si>
  <si>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</si>
  <si>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</si>
  <si>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</si>
  <si>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</si>
  <si>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</si>
  <si>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</si>
  <si>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</si>
  <si>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</si>
  <si>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</si>
  <si>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</si>
  <si>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</si>
  <si>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</si>
  <si>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</si>
  <si>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</si>
  <si>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</si>
  <si>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</si>
  <si>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</si>
  <si>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</si>
  <si>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</si>
  <si>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</si>
  <si>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</si>
  <si>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</si>
  <si>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</si>
  <si>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</si>
  <si>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</si>
  <si>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</si>
  <si>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</si>
  <si>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</si>
  <si>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</si>
  <si>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</si>
  <si>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</si>
  <si>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</si>
  <si>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</si>
  <si>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</si>
  <si>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</si>
  <si>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</si>
  <si>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</si>
  <si>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</si>
  <si>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</si>
  <si>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</si>
  <si>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</si>
  <si>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</si>
  <si>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</si>
  <si>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</si>
  <si>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</si>
  <si>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</si>
  <si>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</si>
  <si>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</si>
  <si>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</si>
  <si>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</si>
  <si>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</si>
  <si>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</si>
  <si>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</si>
  <si>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</si>
  <si>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</si>
  <si>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</si>
  <si>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</si>
  <si>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</si>
  <si>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</si>
  <si>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</si>
  <si>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</si>
  <si>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</si>
  <si>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</si>
  <si>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</si>
  <si>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</si>
  <si>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</si>
  <si>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</si>
  <si>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</si>
  <si>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</si>
  <si>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</si>
  <si>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</si>
  <si>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</si>
  <si>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</si>
  <si>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</si>
  <si>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</si>
  <si>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</si>
  <si>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</si>
  <si>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</si>
  <si>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</si>
  <si>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</si>
  <si>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</si>
  <si>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</si>
  <si>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</si>
  <si>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</si>
  <si>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</si>
  <si>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</si>
  <si>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</si>
  <si>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</si>
  <si>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</si>
  <si>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</si>
  <si>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</si>
  <si>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</si>
  <si>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</si>
  <si>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</si>
  <si>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</si>
  <si>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</si>
  <si>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</si>
  <si>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</si>
  <si>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</si>
  <si>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</si>
  <si>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</si>
  <si>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</si>
  <si>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</si>
  <si>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</si>
  <si>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</si>
  <si>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</si>
  <si>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</si>
  <si>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</si>
  <si>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</si>
  <si>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</si>
  <si>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</si>
  <si>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</si>
  <si>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</si>
  <si>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</si>
  <si>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</si>
  <si>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</si>
  <si>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</si>
  <si>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</si>
  <si>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</si>
  <si>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</si>
  <si>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</si>
  <si>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</si>
  <si>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</si>
  <si>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</si>
  <si>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</si>
  <si>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</si>
  <si>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</si>
  <si>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</si>
  <si>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</si>
  <si>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</si>
  <si>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</si>
  <si>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</si>
  <si>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</si>
  <si>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</si>
  <si>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</si>
  <si>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</si>
  <si>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</si>
  <si>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</si>
  <si>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</si>
  <si>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</si>
  <si>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</si>
  <si>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</si>
  <si>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</si>
  <si>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</si>
  <si>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</si>
  <si>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</si>
  <si>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</si>
  <si>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</si>
  <si>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</si>
  <si>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</si>
  <si>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</si>
  <si>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</si>
  <si>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</si>
  <si>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</si>
  <si>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</si>
  <si>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</si>
  <si>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</si>
  <si>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</si>
  <si>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</si>
  <si>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</si>
  <si>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</si>
  <si>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</si>
  <si>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</si>
  <si>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</si>
  <si>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</si>
  <si>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</si>
  <si>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</si>
  <si>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</si>
  <si>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</si>
  <si>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</si>
  <si>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</si>
  <si>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</si>
  <si>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</si>
  <si>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</si>
  <si>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</si>
  <si>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</si>
  <si>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</si>
  <si>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</si>
  <si>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</si>
  <si>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</si>
  <si>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</si>
  <si>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</si>
  <si>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</si>
  <si>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Scholarship unds</t>
  </si>
  <si>
    <t>Scholarship Funds</t>
  </si>
  <si>
    <t>Portsmouth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</si>
</sst>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2" zoomScaleNormal="112" workbookViewId="0">
      <pane xSplit="5" ySplit="3" topLeftCell="F643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449</v>
      </c>
      <c r="C2" s="21">
        <v>449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/>
      <c r="G9" s="18">
        <v>65335.360000000001</v>
      </c>
      <c r="H9" s="18"/>
      <c r="I9" s="18"/>
      <c r="J9" s="67">
        <f>SUM(I439)</f>
        <v>9561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>
        <v>32222.41</v>
      </c>
      <c r="H12" s="18">
        <v>609903.89</v>
      </c>
      <c r="I12" s="18"/>
      <c r="J12" s="67">
        <f>SUM(I441)</f>
        <v>5889284.8799999999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>
        <v>20738.46</v>
      </c>
      <c r="H13" s="18">
        <v>709157.57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47354.54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0</v>
      </c>
      <c r="G19" s="41">
        <f>SUM(G9:G18)</f>
        <v>165650.77000000002</v>
      </c>
      <c r="H19" s="41">
        <f>SUM(H9:H18)</f>
        <v>1319061.46</v>
      </c>
      <c r="I19" s="41">
        <f>SUM(I9:I18)</f>
        <v>0</v>
      </c>
      <c r="J19" s="41">
        <f>SUM(J9:J18)</f>
        <v>5898845.8799999999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>
        <v>708557.57</v>
      </c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/>
      <c r="G24" s="18"/>
      <c r="H24" s="18">
        <v>600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>
        <v>52895.08</v>
      </c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>
        <v>81153.31</v>
      </c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0</v>
      </c>
      <c r="G32" s="41">
        <f>SUM(G22:G31)</f>
        <v>134048.39000000001</v>
      </c>
      <c r="H32" s="41">
        <f>SUM(H22:H31)</f>
        <v>709157.57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5773993.7800000003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124852.1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31602.38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>
        <v>609903.89</v>
      </c>
      <c r="I48" s="18"/>
      <c r="J48" s="13">
        <f>SUM(I459)</f>
        <v>0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/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0</v>
      </c>
      <c r="G51" s="41">
        <f>SUM(G35:G50)</f>
        <v>31602.38</v>
      </c>
      <c r="H51" s="41">
        <f>SUM(H35:H50)</f>
        <v>609903.89</v>
      </c>
      <c r="I51" s="41">
        <f>SUM(I35:I50)</f>
        <v>0</v>
      </c>
      <c r="J51" s="41">
        <f>SUM(J35:J50)</f>
        <v>5898845.8799999999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0</v>
      </c>
      <c r="G52" s="41">
        <f>G51+G32</f>
        <v>165650.77000000002</v>
      </c>
      <c r="H52" s="41">
        <f>H51+H32</f>
        <v>1319061.46</v>
      </c>
      <c r="I52" s="41">
        <f>I51+I32</f>
        <v>0</v>
      </c>
      <c r="J52" s="41">
        <f>J51+J32</f>
        <v>5898845.8799999999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25522215.870000001</v>
      </c>
      <c r="G57" s="18"/>
      <c r="H57" s="18">
        <v>166545.4</v>
      </c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25522215.870000001</v>
      </c>
      <c r="G60" s="41">
        <f>SUM(G57:G59)</f>
        <v>0</v>
      </c>
      <c r="H60" s="41">
        <f>SUM(H57:H59)</f>
        <v>166545.4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31050.560000000001</v>
      </c>
      <c r="G63" s="24" t="s">
        <v>288</v>
      </c>
      <c r="H63" s="18">
        <v>64244.28</v>
      </c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6067712.6500000004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>
        <v>653616.64000000001</v>
      </c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>
        <v>119585.68</v>
      </c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6098763.21</v>
      </c>
      <c r="G79" s="45" t="s">
        <v>288</v>
      </c>
      <c r="H79" s="41">
        <f>SUM(H63:H78)</f>
        <v>837446.60000000009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/>
      <c r="G96" s="18"/>
      <c r="H96" s="18"/>
      <c r="I96" s="18"/>
      <c r="J96" s="18">
        <v>708678.12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509041.86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>
        <v>25200</v>
      </c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10965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v>42187</v>
      </c>
      <c r="I102" s="18"/>
      <c r="J102" s="18">
        <v>6178.9</v>
      </c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1691.24</v>
      </c>
      <c r="G110" s="18">
        <v>950.71</v>
      </c>
      <c r="H110" s="18">
        <v>210331.43</v>
      </c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12656.24</v>
      </c>
      <c r="G111" s="41">
        <f>SUM(G96:G110)</f>
        <v>509992.57</v>
      </c>
      <c r="H111" s="41">
        <f>SUM(H96:H110)</f>
        <v>277718.43</v>
      </c>
      <c r="I111" s="41">
        <f>SUM(I96:I110)</f>
        <v>0</v>
      </c>
      <c r="J111" s="41">
        <f>SUM(J96:J110)</f>
        <v>714857.02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31633635.32</v>
      </c>
      <c r="G112" s="41">
        <f>G60+G111</f>
        <v>509992.57</v>
      </c>
      <c r="H112" s="41">
        <f>H60+H79+H94+H111</f>
        <v>1281710.4300000002</v>
      </c>
      <c r="I112" s="41">
        <f>I60+I111</f>
        <v>0</v>
      </c>
      <c r="J112" s="41">
        <f>J60+J111</f>
        <v>714857.02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/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11070907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11070907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1812692.98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166545.4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8260.73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1979238.38</v>
      </c>
      <c r="G136" s="41">
        <f>SUM(G123:G135)</f>
        <v>8260.73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>
        <v>450000</v>
      </c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13050145.379999999</v>
      </c>
      <c r="G140" s="41">
        <f>G121+SUM(G136:G137)</f>
        <v>8260.73</v>
      </c>
      <c r="H140" s="41">
        <f>H121+SUM(H136:H139)</f>
        <v>450000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479353.07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273446.45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>
        <v>65591.5</v>
      </c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297491.46000000002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557548.92000000004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/>
      <c r="G160" s="24" t="s">
        <v>288</v>
      </c>
      <c r="H160" s="18">
        <v>581918.73</v>
      </c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>
        <v>44996.22</v>
      </c>
      <c r="H161" s="18">
        <v>80000</v>
      </c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0</v>
      </c>
      <c r="G162" s="41">
        <f>SUM(G150:G161)</f>
        <v>342487.68000000005</v>
      </c>
      <c r="H162" s="41">
        <f>SUM(H150:H161)</f>
        <v>2037858.67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0</v>
      </c>
      <c r="G169" s="41">
        <f>G147+G162+SUM(G163:G168)</f>
        <v>342487.68000000005</v>
      </c>
      <c r="H169" s="41">
        <f>H147+H162+SUM(H163:H168)</f>
        <v>2037858.67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132000</v>
      </c>
      <c r="H179" s="18">
        <v>1030097</v>
      </c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132000</v>
      </c>
      <c r="H183" s="41">
        <f>SUM(H179:H182)</f>
        <v>1030097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132000</v>
      </c>
      <c r="H192" s="41">
        <f>+H183+SUM(H188:H191)</f>
        <v>1030097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44683780.700000003</v>
      </c>
      <c r="G193" s="47">
        <f>G112+G140+G169+G192</f>
        <v>992740.98</v>
      </c>
      <c r="H193" s="47">
        <f>H112+H140+H169+H192</f>
        <v>4799666.0999999996</v>
      </c>
      <c r="I193" s="47">
        <f>I112+I140+I169+I192</f>
        <v>0</v>
      </c>
      <c r="J193" s="47">
        <f>J112+J140+J192</f>
        <v>714857.02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5285999.6900000004</v>
      </c>
      <c r="G197" s="18">
        <v>2833283.99</v>
      </c>
      <c r="H197" s="18">
        <v>44499.48</v>
      </c>
      <c r="I197" s="18">
        <v>163824.10999999999</v>
      </c>
      <c r="J197" s="18">
        <v>10853.57</v>
      </c>
      <c r="K197" s="18"/>
      <c r="L197" s="19">
        <f>SUM(F197:K197)</f>
        <v>8338460.8400000017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1246232.95</v>
      </c>
      <c r="G198" s="18">
        <v>620964.68999999994</v>
      </c>
      <c r="H198" s="18">
        <v>316800.34000000003</v>
      </c>
      <c r="I198" s="18">
        <v>3699.34</v>
      </c>
      <c r="J198" s="18">
        <v>2016.22</v>
      </c>
      <c r="K198" s="18"/>
      <c r="L198" s="19">
        <f>SUM(F198:K198)</f>
        <v>2189713.54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50371.38</v>
      </c>
      <c r="G200" s="18">
        <v>21491.119999999999</v>
      </c>
      <c r="H200" s="18">
        <v>2450</v>
      </c>
      <c r="I200" s="18"/>
      <c r="J200" s="18"/>
      <c r="K200" s="18"/>
      <c r="L200" s="19">
        <f>SUM(F200:K200)</f>
        <v>74312.5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1568564.16</v>
      </c>
      <c r="G202" s="18">
        <v>849537.28</v>
      </c>
      <c r="H202" s="18">
        <v>153852.59</v>
      </c>
      <c r="I202" s="18">
        <v>17900.14</v>
      </c>
      <c r="J202" s="18"/>
      <c r="K202" s="18">
        <v>2970</v>
      </c>
      <c r="L202" s="19">
        <f t="shared" ref="L202:L208" si="0">SUM(F202:K202)</f>
        <v>2592824.17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254093.47</v>
      </c>
      <c r="G203" s="18">
        <v>138642.82999999999</v>
      </c>
      <c r="H203" s="18">
        <v>2289.0300000000002</v>
      </c>
      <c r="I203" s="18">
        <v>33425.51</v>
      </c>
      <c r="J203" s="18">
        <v>35611.78</v>
      </c>
      <c r="K203" s="18"/>
      <c r="L203" s="19">
        <f t="shared" si="0"/>
        <v>464062.62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219872.6</v>
      </c>
      <c r="G204" s="18">
        <v>121156.74</v>
      </c>
      <c r="H204" s="18">
        <v>75315.539999999994</v>
      </c>
      <c r="I204" s="18">
        <v>5669.63</v>
      </c>
      <c r="J204" s="18">
        <v>576.20000000000005</v>
      </c>
      <c r="K204" s="18">
        <v>7843.9</v>
      </c>
      <c r="L204" s="19">
        <f t="shared" si="0"/>
        <v>430434.61000000004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659480.38</v>
      </c>
      <c r="G205" s="18">
        <v>359707.76</v>
      </c>
      <c r="H205" s="18">
        <v>2736.19</v>
      </c>
      <c r="I205" s="18"/>
      <c r="J205" s="18"/>
      <c r="K205" s="18"/>
      <c r="L205" s="19">
        <f t="shared" si="0"/>
        <v>1021924.33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86448.320000000007</v>
      </c>
      <c r="G206" s="18">
        <v>44845.66</v>
      </c>
      <c r="H206" s="18">
        <v>75255.740000000005</v>
      </c>
      <c r="I206" s="18">
        <v>569.61</v>
      </c>
      <c r="J206" s="18">
        <v>952.62</v>
      </c>
      <c r="K206" s="18">
        <v>209.55</v>
      </c>
      <c r="L206" s="19">
        <f t="shared" si="0"/>
        <v>208281.5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505209.42</v>
      </c>
      <c r="G207" s="18">
        <v>261289.09</v>
      </c>
      <c r="H207" s="18">
        <v>166897.67000000001</v>
      </c>
      <c r="I207" s="18">
        <v>209434</v>
      </c>
      <c r="J207" s="18">
        <v>30737.55</v>
      </c>
      <c r="K207" s="18">
        <v>3833.19</v>
      </c>
      <c r="L207" s="19">
        <f t="shared" si="0"/>
        <v>1177400.9200000002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370285.12</v>
      </c>
      <c r="I208" s="18"/>
      <c r="J208" s="18"/>
      <c r="K208" s="18"/>
      <c r="L208" s="19">
        <f t="shared" si="0"/>
        <v>370285.12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199119.46</v>
      </c>
      <c r="G209" s="18">
        <v>104872.44</v>
      </c>
      <c r="H209" s="18">
        <v>16150.33</v>
      </c>
      <c r="I209" s="18">
        <v>23796.57</v>
      </c>
      <c r="J209" s="18"/>
      <c r="K209" s="18">
        <v>761.99</v>
      </c>
      <c r="L209" s="19">
        <f>SUM(F209:K209)</f>
        <v>344700.79000000004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10075391.830000002</v>
      </c>
      <c r="G211" s="41">
        <f t="shared" si="1"/>
        <v>5355791.6000000006</v>
      </c>
      <c r="H211" s="41">
        <f t="shared" si="1"/>
        <v>1226532.0300000003</v>
      </c>
      <c r="I211" s="41">
        <f t="shared" si="1"/>
        <v>458318.91</v>
      </c>
      <c r="J211" s="41">
        <f t="shared" si="1"/>
        <v>80747.94</v>
      </c>
      <c r="K211" s="41">
        <f t="shared" si="1"/>
        <v>15618.63</v>
      </c>
      <c r="L211" s="41">
        <f t="shared" si="1"/>
        <v>17212400.940000001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2432084.5499999998</v>
      </c>
      <c r="G215" s="18">
        <v>1340782.24</v>
      </c>
      <c r="H215" s="18">
        <v>3804.83</v>
      </c>
      <c r="I215" s="18">
        <v>81298.009999999995</v>
      </c>
      <c r="J215" s="18">
        <v>3000</v>
      </c>
      <c r="K215" s="18"/>
      <c r="L215" s="19">
        <f>SUM(F215:K215)</f>
        <v>3860969.63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745208.39</v>
      </c>
      <c r="G216" s="18">
        <v>394570.88</v>
      </c>
      <c r="H216" s="18">
        <v>34101.379999999997</v>
      </c>
      <c r="I216" s="18">
        <v>2698.03</v>
      </c>
      <c r="J216" s="18"/>
      <c r="K216" s="18"/>
      <c r="L216" s="19">
        <f>SUM(F216:K216)</f>
        <v>1176578.68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>
        <v>366089.1</v>
      </c>
      <c r="G217" s="18">
        <v>205807.93</v>
      </c>
      <c r="H217" s="18"/>
      <c r="I217" s="18">
        <v>4159.32</v>
      </c>
      <c r="J217" s="18"/>
      <c r="K217" s="18"/>
      <c r="L217" s="19">
        <f>SUM(F217:K217)</f>
        <v>576056.35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66148.5</v>
      </c>
      <c r="G218" s="18">
        <v>23901.55</v>
      </c>
      <c r="H218" s="18">
        <v>10954.05</v>
      </c>
      <c r="I218" s="18">
        <v>12095.09</v>
      </c>
      <c r="J218" s="18"/>
      <c r="K218" s="18"/>
      <c r="L218" s="19">
        <f>SUM(F218:K218)</f>
        <v>113099.19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506301.86</v>
      </c>
      <c r="G220" s="18">
        <v>278613.03000000003</v>
      </c>
      <c r="H220" s="18">
        <v>14906.49</v>
      </c>
      <c r="I220" s="18">
        <v>2740.2</v>
      </c>
      <c r="J220" s="18"/>
      <c r="K220" s="18"/>
      <c r="L220" s="19">
        <f t="shared" ref="L220:L226" si="2">SUM(F220:K220)</f>
        <v>802561.58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85264.84</v>
      </c>
      <c r="G221" s="18">
        <v>34721.379999999997</v>
      </c>
      <c r="H221" s="18">
        <v>1216.6600000000001</v>
      </c>
      <c r="I221" s="18">
        <v>13802.35</v>
      </c>
      <c r="J221" s="18">
        <v>27016.57</v>
      </c>
      <c r="K221" s="18"/>
      <c r="L221" s="19">
        <f t="shared" si="2"/>
        <v>162021.80000000002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116429.88</v>
      </c>
      <c r="G222" s="18">
        <v>64380.32</v>
      </c>
      <c r="H222" s="18">
        <v>38792.160000000003</v>
      </c>
      <c r="I222" s="18">
        <v>3013.51</v>
      </c>
      <c r="J222" s="18">
        <v>306.26</v>
      </c>
      <c r="K222" s="18">
        <v>4369.18</v>
      </c>
      <c r="L222" s="19">
        <f t="shared" si="2"/>
        <v>227291.31000000003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290207.93</v>
      </c>
      <c r="G223" s="18">
        <v>159860.91</v>
      </c>
      <c r="H223" s="18">
        <v>1812.94</v>
      </c>
      <c r="I223" s="18">
        <v>866.58</v>
      </c>
      <c r="J223" s="18"/>
      <c r="K223" s="18"/>
      <c r="L223" s="19">
        <f t="shared" si="2"/>
        <v>452748.36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45948.85</v>
      </c>
      <c r="G224" s="18">
        <v>23836.28</v>
      </c>
      <c r="H224" s="18">
        <v>42700.31</v>
      </c>
      <c r="I224" s="18">
        <v>302.76</v>
      </c>
      <c r="J224" s="18">
        <v>506.34</v>
      </c>
      <c r="K224" s="18">
        <v>111.38</v>
      </c>
      <c r="L224" s="19">
        <f t="shared" si="2"/>
        <v>113405.92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331754.15999999997</v>
      </c>
      <c r="G225" s="18">
        <v>171962.31</v>
      </c>
      <c r="H225" s="18">
        <v>108996.78</v>
      </c>
      <c r="I225" s="18">
        <v>242376.22</v>
      </c>
      <c r="J225" s="18">
        <v>17878.62</v>
      </c>
      <c r="K225" s="18">
        <v>2037.41</v>
      </c>
      <c r="L225" s="19">
        <f t="shared" si="2"/>
        <v>875005.5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193149.64</v>
      </c>
      <c r="I226" s="18"/>
      <c r="J226" s="18"/>
      <c r="K226" s="18"/>
      <c r="L226" s="19">
        <f t="shared" si="2"/>
        <v>193149.64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v>105835.61</v>
      </c>
      <c r="G227" s="18">
        <v>55774.75</v>
      </c>
      <c r="H227" s="18">
        <v>8584.19</v>
      </c>
      <c r="I227" s="18">
        <v>12648.31</v>
      </c>
      <c r="J227" s="18"/>
      <c r="K227" s="18">
        <v>405.01</v>
      </c>
      <c r="L227" s="19">
        <f>SUM(F227:K227)</f>
        <v>183247.87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5091273.67</v>
      </c>
      <c r="G229" s="41">
        <f>SUM(G215:G228)</f>
        <v>2754211.5799999996</v>
      </c>
      <c r="H229" s="41">
        <f>SUM(H215:H228)</f>
        <v>459019.43</v>
      </c>
      <c r="I229" s="41">
        <f>SUM(I215:I228)</f>
        <v>376000.37999999995</v>
      </c>
      <c r="J229" s="41">
        <f>SUM(J215:J228)</f>
        <v>48707.789999999994</v>
      </c>
      <c r="K229" s="41">
        <f t="shared" si="3"/>
        <v>6922.9800000000005</v>
      </c>
      <c r="L229" s="41">
        <f t="shared" si="3"/>
        <v>8736135.8299999982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5114535.75</v>
      </c>
      <c r="G233" s="18">
        <v>2716019.09</v>
      </c>
      <c r="H233" s="18">
        <v>14053.11</v>
      </c>
      <c r="I233" s="18">
        <v>148386.29999999999</v>
      </c>
      <c r="J233" s="18">
        <v>30309.7</v>
      </c>
      <c r="K233" s="18">
        <v>2120</v>
      </c>
      <c r="L233" s="19">
        <f>SUM(F233:K233)</f>
        <v>8025423.9500000002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446845.08</v>
      </c>
      <c r="G234" s="18">
        <v>233921.97</v>
      </c>
      <c r="H234" s="18">
        <v>742423.32</v>
      </c>
      <c r="I234" s="18">
        <v>2339.8200000000002</v>
      </c>
      <c r="J234" s="18"/>
      <c r="K234" s="18"/>
      <c r="L234" s="19">
        <f>SUM(F234:K234)</f>
        <v>1425530.1900000002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559475.21</v>
      </c>
      <c r="G235" s="18">
        <v>313984.40000000002</v>
      </c>
      <c r="H235" s="18">
        <v>10731.95</v>
      </c>
      <c r="I235" s="18">
        <v>30260.58</v>
      </c>
      <c r="J235" s="18"/>
      <c r="K235" s="18"/>
      <c r="L235" s="19">
        <f>SUM(F235:K235)</f>
        <v>914452.1399999999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280540.01</v>
      </c>
      <c r="G236" s="18">
        <v>76432.38</v>
      </c>
      <c r="H236" s="18">
        <v>93789.38</v>
      </c>
      <c r="I236" s="18">
        <v>71091.92</v>
      </c>
      <c r="J236" s="18"/>
      <c r="K236" s="18"/>
      <c r="L236" s="19">
        <f>SUM(F236:K236)</f>
        <v>521853.69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1020084.48</v>
      </c>
      <c r="G238" s="18">
        <v>544731.77</v>
      </c>
      <c r="H238" s="18">
        <v>50426.28</v>
      </c>
      <c r="I238" s="18">
        <v>7898.98</v>
      </c>
      <c r="J238" s="18"/>
      <c r="K238" s="18">
        <v>14305.09</v>
      </c>
      <c r="L238" s="19">
        <f t="shared" ref="L238:L244" si="4">SUM(F238:K238)</f>
        <v>1637446.6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86395.56</v>
      </c>
      <c r="G239" s="18">
        <v>47434.720000000001</v>
      </c>
      <c r="H239" s="18">
        <v>6652.31</v>
      </c>
      <c r="I239" s="18">
        <v>21312.34</v>
      </c>
      <c r="J239" s="18">
        <v>41094.519999999997</v>
      </c>
      <c r="K239" s="18">
        <v>300</v>
      </c>
      <c r="L239" s="19">
        <f t="shared" si="4"/>
        <v>203189.44999999998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481417.44</v>
      </c>
      <c r="G240" s="18">
        <v>262468.74</v>
      </c>
      <c r="H240" s="18">
        <v>90562.11</v>
      </c>
      <c r="I240" s="18">
        <v>6197.89</v>
      </c>
      <c r="J240" s="18">
        <v>629.88</v>
      </c>
      <c r="K240" s="18">
        <v>24217.96</v>
      </c>
      <c r="L240" s="19">
        <f t="shared" si="4"/>
        <v>865494.0199999999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547314.4</v>
      </c>
      <c r="G241" s="18">
        <v>295820.40999999997</v>
      </c>
      <c r="H241" s="18">
        <v>63932.47</v>
      </c>
      <c r="I241" s="18">
        <v>6437.61</v>
      </c>
      <c r="J241" s="18">
        <v>7244.88</v>
      </c>
      <c r="K241" s="18">
        <v>3730</v>
      </c>
      <c r="L241" s="19">
        <f t="shared" si="4"/>
        <v>924479.77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94503.17</v>
      </c>
      <c r="G242" s="18">
        <v>49024.160000000003</v>
      </c>
      <c r="H242" s="18">
        <v>82583.94</v>
      </c>
      <c r="I242" s="18">
        <v>622.69000000000005</v>
      </c>
      <c r="J242" s="18">
        <v>1041.3800000000001</v>
      </c>
      <c r="K242" s="18">
        <v>229.07</v>
      </c>
      <c r="L242" s="19">
        <f t="shared" si="4"/>
        <v>228004.41000000003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579150.5</v>
      </c>
      <c r="G243" s="18">
        <v>300244.53999999998</v>
      </c>
      <c r="H243" s="18">
        <v>528107.18999999994</v>
      </c>
      <c r="I243" s="18">
        <v>581682.12</v>
      </c>
      <c r="J243" s="18">
        <v>8608.92</v>
      </c>
      <c r="K243" s="18">
        <v>9190.35</v>
      </c>
      <c r="L243" s="19">
        <f t="shared" si="4"/>
        <v>2006983.62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443470.69</v>
      </c>
      <c r="I244" s="18"/>
      <c r="J244" s="18"/>
      <c r="K244" s="18"/>
      <c r="L244" s="19">
        <f t="shared" si="4"/>
        <v>443470.69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217672.47</v>
      </c>
      <c r="G245" s="18">
        <v>114643.96</v>
      </c>
      <c r="H245" s="18">
        <v>17655.150000000001</v>
      </c>
      <c r="I245" s="18">
        <v>26013.83</v>
      </c>
      <c r="J245" s="18"/>
      <c r="K245" s="18">
        <v>832.99</v>
      </c>
      <c r="L245" s="19">
        <f>SUM(F245:K245)</f>
        <v>376818.4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9427934.0700000003</v>
      </c>
      <c r="G247" s="41">
        <f t="shared" si="5"/>
        <v>4954726.1400000006</v>
      </c>
      <c r="H247" s="41">
        <f t="shared" si="5"/>
        <v>2144387.9</v>
      </c>
      <c r="I247" s="41">
        <f t="shared" si="5"/>
        <v>902244.08</v>
      </c>
      <c r="J247" s="41">
        <f t="shared" si="5"/>
        <v>88929.280000000013</v>
      </c>
      <c r="K247" s="41">
        <f t="shared" si="5"/>
        <v>54925.46</v>
      </c>
      <c r="L247" s="41">
        <f t="shared" si="5"/>
        <v>17573146.93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24594599.57</v>
      </c>
      <c r="G257" s="41">
        <f t="shared" si="8"/>
        <v>13064729.32</v>
      </c>
      <c r="H257" s="41">
        <f t="shared" si="8"/>
        <v>3829939.3600000003</v>
      </c>
      <c r="I257" s="41">
        <f t="shared" si="8"/>
        <v>1736563.3699999999</v>
      </c>
      <c r="J257" s="41">
        <f t="shared" si="8"/>
        <v>218385.01</v>
      </c>
      <c r="K257" s="41">
        <f t="shared" si="8"/>
        <v>77467.070000000007</v>
      </c>
      <c r="L257" s="41">
        <f t="shared" si="8"/>
        <v>43521683.700000003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132000</v>
      </c>
      <c r="L263" s="19">
        <f>SUM(F263:K263)</f>
        <v>132000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>
        <v>1030097</v>
      </c>
      <c r="L264" s="19">
        <f t="shared" ref="L264:L270" si="9">SUM(F264:K264)</f>
        <v>1030097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1162097</v>
      </c>
      <c r="L270" s="41">
        <f t="shared" si="9"/>
        <v>1162097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24594599.57</v>
      </c>
      <c r="G271" s="42">
        <f t="shared" si="11"/>
        <v>13064729.32</v>
      </c>
      <c r="H271" s="42">
        <f t="shared" si="11"/>
        <v>3829939.3600000003</v>
      </c>
      <c r="I271" s="42">
        <f t="shared" si="11"/>
        <v>1736563.3699999999</v>
      </c>
      <c r="J271" s="42">
        <f t="shared" si="11"/>
        <v>218385.01</v>
      </c>
      <c r="K271" s="42">
        <f t="shared" si="11"/>
        <v>1239564.07</v>
      </c>
      <c r="L271" s="42">
        <f t="shared" si="11"/>
        <v>44683780.700000003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482207.28</v>
      </c>
      <c r="G276" s="18">
        <v>56986.3</v>
      </c>
      <c r="H276" s="18"/>
      <c r="I276" s="18">
        <v>1218.31</v>
      </c>
      <c r="J276" s="18"/>
      <c r="K276" s="18"/>
      <c r="L276" s="19">
        <f>SUM(F276:K276)</f>
        <v>540411.89000000013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547459.56999999995</v>
      </c>
      <c r="G277" s="18">
        <v>61252.49</v>
      </c>
      <c r="H277" s="18">
        <v>11249.08</v>
      </c>
      <c r="I277" s="18">
        <v>7006.6</v>
      </c>
      <c r="J277" s="18">
        <v>12488.14</v>
      </c>
      <c r="K277" s="18"/>
      <c r="L277" s="19">
        <f>SUM(F277:K277)</f>
        <v>639455.87999999989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49975.65</v>
      </c>
      <c r="G279" s="18">
        <v>5355.81</v>
      </c>
      <c r="H279" s="18">
        <v>16193.64</v>
      </c>
      <c r="I279" s="18">
        <v>3113.67</v>
      </c>
      <c r="J279" s="18"/>
      <c r="K279" s="18"/>
      <c r="L279" s="19">
        <f>SUM(F279:K279)</f>
        <v>74638.77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>
        <v>22203.42</v>
      </c>
      <c r="I281" s="18">
        <v>4863.5</v>
      </c>
      <c r="J281" s="18">
        <v>2500</v>
      </c>
      <c r="K281" s="18"/>
      <c r="L281" s="19">
        <f t="shared" ref="L281:L287" si="12">SUM(F281:K281)</f>
        <v>29566.92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9724.4500000000007</v>
      </c>
      <c r="G282" s="18">
        <v>805.54</v>
      </c>
      <c r="H282" s="18">
        <v>80052.479999999996</v>
      </c>
      <c r="I282" s="18">
        <v>2798.38</v>
      </c>
      <c r="J282" s="18"/>
      <c r="K282" s="18"/>
      <c r="L282" s="19">
        <f t="shared" si="12"/>
        <v>93380.85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20036.18</v>
      </c>
      <c r="G283" s="18">
        <v>3683.99</v>
      </c>
      <c r="H283" s="18"/>
      <c r="I283" s="18"/>
      <c r="J283" s="18"/>
      <c r="K283" s="18"/>
      <c r="L283" s="19">
        <f t="shared" si="12"/>
        <v>23720.17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>
        <v>82235.67</v>
      </c>
      <c r="K286" s="18"/>
      <c r="L286" s="19">
        <f t="shared" si="12"/>
        <v>82235.67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7921.2</v>
      </c>
      <c r="I287" s="18"/>
      <c r="J287" s="18"/>
      <c r="K287" s="18"/>
      <c r="L287" s="19">
        <f t="shared" si="12"/>
        <v>7921.2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1109403.1299999999</v>
      </c>
      <c r="G290" s="42">
        <f t="shared" si="13"/>
        <v>128084.13</v>
      </c>
      <c r="H290" s="42">
        <f t="shared" si="13"/>
        <v>137619.82</v>
      </c>
      <c r="I290" s="42">
        <f t="shared" si="13"/>
        <v>19000.46</v>
      </c>
      <c r="J290" s="42">
        <f t="shared" si="13"/>
        <v>97223.81</v>
      </c>
      <c r="K290" s="42">
        <f t="shared" si="13"/>
        <v>0</v>
      </c>
      <c r="L290" s="41">
        <f t="shared" si="13"/>
        <v>1491331.3499999999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496843.67</v>
      </c>
      <c r="G296" s="18">
        <v>87516.59</v>
      </c>
      <c r="H296" s="18">
        <v>4982.13</v>
      </c>
      <c r="I296" s="18">
        <v>989.79</v>
      </c>
      <c r="J296" s="18">
        <v>3050.25</v>
      </c>
      <c r="K296" s="18"/>
      <c r="L296" s="19">
        <f>SUM(F296:K296)</f>
        <v>593382.43000000005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>
        <v>5558.85</v>
      </c>
      <c r="G298" s="18">
        <v>927.57</v>
      </c>
      <c r="H298" s="18">
        <v>1483.59</v>
      </c>
      <c r="I298" s="18">
        <v>5762.47</v>
      </c>
      <c r="J298" s="18"/>
      <c r="K298" s="18">
        <v>800</v>
      </c>
      <c r="L298" s="19">
        <f>SUM(F298:K298)</f>
        <v>14532.48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>
        <v>10605.6</v>
      </c>
      <c r="I300" s="18">
        <v>1947.23</v>
      </c>
      <c r="J300" s="18"/>
      <c r="K300" s="18"/>
      <c r="L300" s="19">
        <f t="shared" ref="L300:L306" si="14">SUM(F300:K300)</f>
        <v>12552.83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>
        <v>2700</v>
      </c>
      <c r="I301" s="18"/>
      <c r="J301" s="18"/>
      <c r="K301" s="18"/>
      <c r="L301" s="19">
        <f t="shared" si="14"/>
        <v>2700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>
        <v>9741.89</v>
      </c>
      <c r="G302" s="18">
        <v>1791.21</v>
      </c>
      <c r="H302" s="18"/>
      <c r="I302" s="18"/>
      <c r="J302" s="18"/>
      <c r="K302" s="18"/>
      <c r="L302" s="19">
        <f t="shared" si="14"/>
        <v>11533.099999999999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>
        <v>9161.14</v>
      </c>
      <c r="I305" s="18"/>
      <c r="J305" s="18">
        <v>8557.86</v>
      </c>
      <c r="K305" s="18"/>
      <c r="L305" s="19">
        <f t="shared" si="14"/>
        <v>17719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>
        <v>482.53</v>
      </c>
      <c r="I306" s="18"/>
      <c r="J306" s="18"/>
      <c r="K306" s="18"/>
      <c r="L306" s="19">
        <f t="shared" si="14"/>
        <v>482.53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512144.41</v>
      </c>
      <c r="G309" s="42">
        <f t="shared" si="15"/>
        <v>90235.37000000001</v>
      </c>
      <c r="H309" s="42">
        <f t="shared" si="15"/>
        <v>29414.989999999998</v>
      </c>
      <c r="I309" s="42">
        <f t="shared" si="15"/>
        <v>8699.49</v>
      </c>
      <c r="J309" s="42">
        <f t="shared" si="15"/>
        <v>11608.11</v>
      </c>
      <c r="K309" s="42">
        <f t="shared" si="15"/>
        <v>800</v>
      </c>
      <c r="L309" s="41">
        <f t="shared" si="15"/>
        <v>652902.37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1230832.95</v>
      </c>
      <c r="G315" s="18">
        <v>233265.97</v>
      </c>
      <c r="H315" s="18">
        <v>17889.8</v>
      </c>
      <c r="I315" s="18">
        <v>21353.89</v>
      </c>
      <c r="J315" s="18">
        <v>6103.74</v>
      </c>
      <c r="K315" s="18">
        <v>750</v>
      </c>
      <c r="L315" s="19">
        <f>SUM(F315:K315)</f>
        <v>1510196.3499999999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>
        <v>44816.5</v>
      </c>
      <c r="G316" s="18">
        <v>9664.1299999999992</v>
      </c>
      <c r="H316" s="18">
        <v>15348.79</v>
      </c>
      <c r="I316" s="18">
        <v>5370</v>
      </c>
      <c r="J316" s="18">
        <v>25761.69</v>
      </c>
      <c r="K316" s="18"/>
      <c r="L316" s="19">
        <f>SUM(F316:K316)</f>
        <v>100961.11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v>16835.13</v>
      </c>
      <c r="G317" s="18">
        <v>2764.74</v>
      </c>
      <c r="H317" s="18">
        <v>83727.53</v>
      </c>
      <c r="I317" s="18">
        <v>30761.61</v>
      </c>
      <c r="J317" s="18">
        <v>1462.88</v>
      </c>
      <c r="K317" s="18"/>
      <c r="L317" s="19">
        <f>SUM(F317:K317)</f>
        <v>135551.89000000001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42766.36</v>
      </c>
      <c r="G319" s="18">
        <v>9836.32</v>
      </c>
      <c r="H319" s="18">
        <v>21812.58</v>
      </c>
      <c r="I319" s="18">
        <v>4004.88</v>
      </c>
      <c r="J319" s="18"/>
      <c r="K319" s="18"/>
      <c r="L319" s="19">
        <f t="shared" ref="L319:L325" si="16">SUM(F319:K319)</f>
        <v>78420.140000000014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>
        <v>2700</v>
      </c>
      <c r="I320" s="18"/>
      <c r="J320" s="18"/>
      <c r="K320" s="18">
        <v>1956.33</v>
      </c>
      <c r="L320" s="19">
        <f t="shared" si="16"/>
        <v>4656.33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>
        <v>105132.69</v>
      </c>
      <c r="G321" s="18">
        <v>13727.64</v>
      </c>
      <c r="H321" s="18"/>
      <c r="I321" s="18"/>
      <c r="J321" s="18"/>
      <c r="K321" s="18"/>
      <c r="L321" s="19">
        <f t="shared" si="16"/>
        <v>118860.33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>
        <v>102423.96</v>
      </c>
      <c r="G322" s="18">
        <v>23809.91</v>
      </c>
      <c r="H322" s="18"/>
      <c r="I322" s="18"/>
      <c r="J322" s="18"/>
      <c r="K322" s="18"/>
      <c r="L322" s="19">
        <f t="shared" si="16"/>
        <v>126233.87000000001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>
        <v>1059.3</v>
      </c>
      <c r="I323" s="18"/>
      <c r="J323" s="18"/>
      <c r="K323" s="18"/>
      <c r="L323" s="19">
        <f t="shared" si="16"/>
        <v>1059.3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>
        <v>21921.56</v>
      </c>
      <c r="G324" s="18">
        <v>4105.96</v>
      </c>
      <c r="H324" s="18">
        <v>4664.07</v>
      </c>
      <c r="I324" s="18">
        <v>26497.91</v>
      </c>
      <c r="J324" s="18">
        <v>21185.32</v>
      </c>
      <c r="K324" s="18"/>
      <c r="L324" s="19">
        <f t="shared" si="16"/>
        <v>78374.820000000007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>
        <v>30737.62</v>
      </c>
      <c r="I325" s="18"/>
      <c r="J325" s="18"/>
      <c r="K325" s="18"/>
      <c r="L325" s="19">
        <f t="shared" si="16"/>
        <v>30737.62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1564729.15</v>
      </c>
      <c r="G328" s="42">
        <f t="shared" si="17"/>
        <v>297174.67</v>
      </c>
      <c r="H328" s="42">
        <f t="shared" si="17"/>
        <v>177939.69</v>
      </c>
      <c r="I328" s="42">
        <f t="shared" si="17"/>
        <v>87988.29</v>
      </c>
      <c r="J328" s="42">
        <f t="shared" si="17"/>
        <v>54513.63</v>
      </c>
      <c r="K328" s="42">
        <f t="shared" si="17"/>
        <v>2706.33</v>
      </c>
      <c r="L328" s="41">
        <f t="shared" si="17"/>
        <v>2185051.7600000007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3186276.6899999995</v>
      </c>
      <c r="G338" s="41">
        <f t="shared" si="20"/>
        <v>515494.17</v>
      </c>
      <c r="H338" s="41">
        <f t="shared" si="20"/>
        <v>344974.5</v>
      </c>
      <c r="I338" s="41">
        <f t="shared" si="20"/>
        <v>115688.23999999999</v>
      </c>
      <c r="J338" s="41">
        <f t="shared" si="20"/>
        <v>163345.54999999999</v>
      </c>
      <c r="K338" s="41">
        <f t="shared" si="20"/>
        <v>3506.33</v>
      </c>
      <c r="L338" s="41">
        <f t="shared" si="20"/>
        <v>4329285.4800000004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>
        <v>450000</v>
      </c>
      <c r="L350" s="19">
        <f t="shared" si="21"/>
        <v>450000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450000</v>
      </c>
      <c r="L351" s="41">
        <f>SUM(L341:L350)</f>
        <v>450000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3186276.6899999995</v>
      </c>
      <c r="G352" s="41">
        <f>G338</f>
        <v>515494.17</v>
      </c>
      <c r="H352" s="41">
        <f>H338</f>
        <v>344974.5</v>
      </c>
      <c r="I352" s="41">
        <f>I338</f>
        <v>115688.23999999999</v>
      </c>
      <c r="J352" s="41">
        <f>J338</f>
        <v>163345.54999999999</v>
      </c>
      <c r="K352" s="47">
        <f>K338+K351</f>
        <v>453506.33</v>
      </c>
      <c r="L352" s="41">
        <f>L338+L351</f>
        <v>4779285.4800000004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154080.42000000001</v>
      </c>
      <c r="G358" s="18">
        <v>23334.68</v>
      </c>
      <c r="H358" s="18">
        <v>10122.07</v>
      </c>
      <c r="I358" s="18">
        <v>129740.68</v>
      </c>
      <c r="J358" s="18"/>
      <c r="K358" s="18">
        <v>256.88</v>
      </c>
      <c r="L358" s="13">
        <f>SUM(F358:K358)</f>
        <v>317534.73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117846.44</v>
      </c>
      <c r="G359" s="18">
        <v>17737.7</v>
      </c>
      <c r="H359" s="18">
        <v>7171.99</v>
      </c>
      <c r="I359" s="18">
        <v>91927.679999999993</v>
      </c>
      <c r="J359" s="18"/>
      <c r="K359" s="18">
        <v>182.01</v>
      </c>
      <c r="L359" s="19">
        <f>SUM(F359:K359)</f>
        <v>234865.82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180635</v>
      </c>
      <c r="G360" s="18">
        <v>24861.13</v>
      </c>
      <c r="H360" s="18">
        <v>14653.23</v>
      </c>
      <c r="I360" s="18">
        <v>187819.25</v>
      </c>
      <c r="J360" s="18"/>
      <c r="K360" s="18">
        <v>371.86</v>
      </c>
      <c r="L360" s="19">
        <f>SUM(F360:K360)</f>
        <v>408340.47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452561.86</v>
      </c>
      <c r="G362" s="47">
        <f t="shared" si="22"/>
        <v>65933.510000000009</v>
      </c>
      <c r="H362" s="47">
        <f t="shared" si="22"/>
        <v>31947.289999999997</v>
      </c>
      <c r="I362" s="47">
        <f t="shared" si="22"/>
        <v>409487.61</v>
      </c>
      <c r="J362" s="47">
        <f t="shared" si="22"/>
        <v>0</v>
      </c>
      <c r="K362" s="47">
        <f t="shared" si="22"/>
        <v>810.75</v>
      </c>
      <c r="L362" s="47">
        <f t="shared" si="22"/>
        <v>960741.02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119545.16</v>
      </c>
      <c r="G367" s="18">
        <v>84703.65</v>
      </c>
      <c r="H367" s="18">
        <v>173059.71</v>
      </c>
      <c r="I367" s="56">
        <f>SUM(F367:H367)</f>
        <v>377308.52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10195.52</v>
      </c>
      <c r="G368" s="63">
        <v>7224.03</v>
      </c>
      <c r="H368" s="63">
        <v>14759.54</v>
      </c>
      <c r="I368" s="56">
        <f>SUM(F368:H368)</f>
        <v>32179.09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129740.68000000001</v>
      </c>
      <c r="G369" s="47">
        <f>SUM(G367:G368)</f>
        <v>91927.679999999993</v>
      </c>
      <c r="H369" s="47">
        <f>SUM(H367:H368)</f>
        <v>187819.25</v>
      </c>
      <c r="I369" s="47">
        <f>SUM(I367:I368)</f>
        <v>409487.61000000004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 t="s">
        <v>913</v>
      </c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>
        <v>708678.12</v>
      </c>
      <c r="I405" s="18">
        <v>6178.9</v>
      </c>
      <c r="J405" s="24" t="s">
        <v>288</v>
      </c>
      <c r="K405" s="24" t="s">
        <v>288</v>
      </c>
      <c r="L405" s="56">
        <f>SUM(F405:K405)</f>
        <v>714857.02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708678.12</v>
      </c>
      <c r="I407" s="47">
        <f>SUM(I403:I406)</f>
        <v>6178.9</v>
      </c>
      <c r="J407" s="49" t="s">
        <v>288</v>
      </c>
      <c r="K407" s="49" t="s">
        <v>288</v>
      </c>
      <c r="L407" s="47">
        <f>SUM(L403:L406)</f>
        <v>714857.02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708678.12</v>
      </c>
      <c r="I408" s="47">
        <f>I393+I401+I407</f>
        <v>6178.9</v>
      </c>
      <c r="J408" s="24" t="s">
        <v>288</v>
      </c>
      <c r="K408" s="24" t="s">
        <v>288</v>
      </c>
      <c r="L408" s="47">
        <f>L393+L401+L407</f>
        <v>714857.02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 t="s">
        <v>912</v>
      </c>
      <c r="B431" s="6">
        <v>17</v>
      </c>
      <c r="C431" s="6">
        <v>17</v>
      </c>
      <c r="D431" s="2" t="s">
        <v>432</v>
      </c>
      <c r="E431" s="6"/>
      <c r="F431" s="18"/>
      <c r="G431" s="18"/>
      <c r="H431" s="18">
        <v>116000</v>
      </c>
      <c r="I431" s="18"/>
      <c r="J431" s="18"/>
      <c r="K431" s="18">
        <v>18972.38</v>
      </c>
      <c r="L431" s="56">
        <f>SUM(F431:K431)</f>
        <v>134972.38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116000</v>
      </c>
      <c r="I433" s="47">
        <f t="shared" si="31"/>
        <v>0</v>
      </c>
      <c r="J433" s="47">
        <f t="shared" si="31"/>
        <v>0</v>
      </c>
      <c r="K433" s="47">
        <f t="shared" si="31"/>
        <v>18972.38</v>
      </c>
      <c r="L433" s="47">
        <f t="shared" si="31"/>
        <v>134972.38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116000</v>
      </c>
      <c r="I434" s="47">
        <f t="shared" si="32"/>
        <v>0</v>
      </c>
      <c r="J434" s="47">
        <f t="shared" si="32"/>
        <v>0</v>
      </c>
      <c r="K434" s="47">
        <f t="shared" si="32"/>
        <v>18972.38</v>
      </c>
      <c r="L434" s="47">
        <f t="shared" si="32"/>
        <v>134972.38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>
        <v>9561</v>
      </c>
      <c r="I439" s="56">
        <f t="shared" ref="I439:I445" si="33">SUM(F439:H439)</f>
        <v>9561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>
        <v>5889284.8799999999</v>
      </c>
      <c r="I441" s="56">
        <f t="shared" si="33"/>
        <v>5889284.8799999999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0</v>
      </c>
      <c r="H446" s="13">
        <f>SUM(H439:H445)</f>
        <v>5898845.8799999999</v>
      </c>
      <c r="I446" s="13">
        <f>SUM(I439:I445)</f>
        <v>5898845.8799999999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>
        <v>5773993.7800000003</v>
      </c>
      <c r="I457" s="56">
        <f t="shared" si="34"/>
        <v>5773993.7800000003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>
        <v>124852.1</v>
      </c>
      <c r="I458" s="56">
        <f t="shared" si="34"/>
        <v>124852.1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0</v>
      </c>
      <c r="H460" s="83">
        <f>SUM(H454:H459)</f>
        <v>5898845.8799999999</v>
      </c>
      <c r="I460" s="83">
        <f>SUM(I454:I459)</f>
        <v>5898845.8799999999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0</v>
      </c>
      <c r="H461" s="42">
        <f>H452+H460</f>
        <v>5898845.8799999999</v>
      </c>
      <c r="I461" s="42">
        <f>I452+I460</f>
        <v>5898845.8799999999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/>
      <c r="G465" s="18">
        <v>-397.58</v>
      </c>
      <c r="H465" s="18">
        <v>589523.27</v>
      </c>
      <c r="I465" s="18"/>
      <c r="J465" s="18">
        <v>5318961.24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44683780.700000003</v>
      </c>
      <c r="G468" s="18">
        <v>992740.98</v>
      </c>
      <c r="H468" s="18">
        <v>4799666.0999999996</v>
      </c>
      <c r="I468" s="18"/>
      <c r="J468" s="18">
        <v>714857.02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44683780.700000003</v>
      </c>
      <c r="G470" s="53">
        <f>SUM(G468:G469)</f>
        <v>992740.98</v>
      </c>
      <c r="H470" s="53">
        <f>SUM(H468:H469)</f>
        <v>4799666.0999999996</v>
      </c>
      <c r="I470" s="53">
        <f>SUM(I468:I469)</f>
        <v>0</v>
      </c>
      <c r="J470" s="53">
        <f>SUM(J468:J469)</f>
        <v>714857.02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44683780.700000003</v>
      </c>
      <c r="G472" s="18">
        <v>960741.02</v>
      </c>
      <c r="H472" s="18">
        <v>4779285.4800000004</v>
      </c>
      <c r="I472" s="18"/>
      <c r="J472" s="18">
        <v>134972.38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44683780.700000003</v>
      </c>
      <c r="G474" s="53">
        <f>SUM(G472:G473)</f>
        <v>960741.02</v>
      </c>
      <c r="H474" s="53">
        <f>SUM(H472:H473)</f>
        <v>4779285.4800000004</v>
      </c>
      <c r="I474" s="53">
        <f>SUM(I472:I473)</f>
        <v>0</v>
      </c>
      <c r="J474" s="53">
        <f>SUM(J472:J473)</f>
        <v>134972.38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0</v>
      </c>
      <c r="G476" s="53">
        <f>(G465+G470)- G474</f>
        <v>31602.380000000005</v>
      </c>
      <c r="H476" s="53">
        <f>(H465+H470)- H474</f>
        <v>609903.88999999873</v>
      </c>
      <c r="I476" s="53">
        <f>(I465+I470)- I474</f>
        <v>0</v>
      </c>
      <c r="J476" s="53">
        <f>(J465+J470)- J474</f>
        <v>5898845.8799999999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1711327.19</v>
      </c>
      <c r="G521" s="18">
        <v>389103.58</v>
      </c>
      <c r="H521" s="18">
        <v>323406.49</v>
      </c>
      <c r="I521" s="18">
        <v>8493.2000000000007</v>
      </c>
      <c r="J521" s="18">
        <v>14504.36</v>
      </c>
      <c r="K521" s="18"/>
      <c r="L521" s="88">
        <f>SUM(F521:K521)</f>
        <v>2446834.8199999998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1147631.1000000001</v>
      </c>
      <c r="G522" s="18">
        <v>290450.86</v>
      </c>
      <c r="H522" s="18">
        <v>34452.730000000003</v>
      </c>
      <c r="I522" s="18">
        <v>3363.17</v>
      </c>
      <c r="J522" s="18">
        <v>3050.25</v>
      </c>
      <c r="K522" s="18"/>
      <c r="L522" s="88">
        <f>SUM(F522:K522)</f>
        <v>1478948.1099999999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1583275.7</v>
      </c>
      <c r="G523" s="18">
        <v>348083.42</v>
      </c>
      <c r="H523" s="18">
        <v>755782.46</v>
      </c>
      <c r="I523" s="18">
        <v>21055.93</v>
      </c>
      <c r="J523" s="18">
        <v>6103.74</v>
      </c>
      <c r="K523" s="18">
        <v>750</v>
      </c>
      <c r="L523" s="88">
        <f>SUM(F523:K523)</f>
        <v>2715051.2500000005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4442233.99</v>
      </c>
      <c r="G524" s="108">
        <f t="shared" ref="G524:L524" si="36">SUM(G521:G523)</f>
        <v>1027637.8599999999</v>
      </c>
      <c r="H524" s="108">
        <f t="shared" si="36"/>
        <v>1113641.68</v>
      </c>
      <c r="I524" s="108">
        <f t="shared" si="36"/>
        <v>32912.300000000003</v>
      </c>
      <c r="J524" s="108">
        <f t="shared" si="36"/>
        <v>23658.35</v>
      </c>
      <c r="K524" s="108">
        <f t="shared" si="36"/>
        <v>750</v>
      </c>
      <c r="L524" s="89">
        <f t="shared" si="36"/>
        <v>6640834.1799999997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584736.55000000005</v>
      </c>
      <c r="G526" s="18">
        <v>324423.13</v>
      </c>
      <c r="H526" s="18">
        <v>157099.42000000001</v>
      </c>
      <c r="I526" s="18">
        <v>16073.9</v>
      </c>
      <c r="J526" s="18">
        <v>2500</v>
      </c>
      <c r="K526" s="18"/>
      <c r="L526" s="88">
        <f>SUM(F526:K526)</f>
        <v>1084833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132744.79999999999</v>
      </c>
      <c r="G527" s="18">
        <v>73338.48</v>
      </c>
      <c r="H527" s="18">
        <v>18809.39</v>
      </c>
      <c r="I527" s="18">
        <v>357.22</v>
      </c>
      <c r="J527" s="18"/>
      <c r="K527" s="18"/>
      <c r="L527" s="88">
        <f>SUM(F527:K527)</f>
        <v>225249.88999999998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172342.6</v>
      </c>
      <c r="G528" s="18">
        <v>66979.789999999994</v>
      </c>
      <c r="H528" s="18">
        <v>54305.760000000002</v>
      </c>
      <c r="I528" s="18">
        <v>5863.29</v>
      </c>
      <c r="J528" s="18"/>
      <c r="K528" s="18">
        <v>456.32</v>
      </c>
      <c r="L528" s="88">
        <f>SUM(F528:K528)</f>
        <v>299947.76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889823.95000000007</v>
      </c>
      <c r="G529" s="89">
        <f t="shared" ref="G529:L529" si="37">SUM(G526:G528)</f>
        <v>464741.39999999997</v>
      </c>
      <c r="H529" s="89">
        <f t="shared" si="37"/>
        <v>230214.57</v>
      </c>
      <c r="I529" s="89">
        <f t="shared" si="37"/>
        <v>22294.41</v>
      </c>
      <c r="J529" s="89">
        <f t="shared" si="37"/>
        <v>2500</v>
      </c>
      <c r="K529" s="89">
        <f t="shared" si="37"/>
        <v>456.32</v>
      </c>
      <c r="L529" s="89">
        <f t="shared" si="37"/>
        <v>1610030.65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86531.74</v>
      </c>
      <c r="G531" s="18">
        <v>54806.51</v>
      </c>
      <c r="H531" s="18">
        <v>285.63</v>
      </c>
      <c r="I531" s="18"/>
      <c r="J531" s="18"/>
      <c r="K531" s="18"/>
      <c r="L531" s="88">
        <f>SUM(F531:K531)</f>
        <v>141623.88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44656.02</v>
      </c>
      <c r="G532" s="18">
        <v>52317.72</v>
      </c>
      <c r="H532" s="18"/>
      <c r="I532" s="18"/>
      <c r="J532" s="18"/>
      <c r="K532" s="18"/>
      <c r="L532" s="88">
        <f>SUM(F532:K532)</f>
        <v>96973.739999999991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274523.82</v>
      </c>
      <c r="G533" s="18">
        <v>84213.34</v>
      </c>
      <c r="H533" s="18"/>
      <c r="I533" s="18"/>
      <c r="J533" s="18"/>
      <c r="K533" s="18"/>
      <c r="L533" s="88">
        <f>SUM(F533:K533)</f>
        <v>358737.16000000003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405711.58</v>
      </c>
      <c r="G534" s="89">
        <f t="shared" ref="G534:L534" si="38">SUM(G531:G533)</f>
        <v>191337.57</v>
      </c>
      <c r="H534" s="89">
        <f t="shared" si="38"/>
        <v>285.63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597334.78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22289.08</v>
      </c>
      <c r="I536" s="18"/>
      <c r="J536" s="18"/>
      <c r="K536" s="18"/>
      <c r="L536" s="88">
        <f>SUM(F536:K536)</f>
        <v>22289.08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v>11847.05</v>
      </c>
      <c r="I537" s="18"/>
      <c r="J537" s="18"/>
      <c r="K537" s="18"/>
      <c r="L537" s="88">
        <f>SUM(F537:K537)</f>
        <v>11847.05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53495.63</v>
      </c>
      <c r="I538" s="18"/>
      <c r="J538" s="18"/>
      <c r="K538" s="18"/>
      <c r="L538" s="88">
        <f>SUM(F538:K538)</f>
        <v>53495.63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87631.760000000009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87631.760000000009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79537.77</v>
      </c>
      <c r="I541" s="18"/>
      <c r="J541" s="18"/>
      <c r="K541" s="18"/>
      <c r="L541" s="88">
        <f>SUM(F541:K541)</f>
        <v>79537.77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23940.59</v>
      </c>
      <c r="I542" s="18"/>
      <c r="J542" s="18"/>
      <c r="K542" s="18"/>
      <c r="L542" s="88">
        <f>SUM(F542:K542)</f>
        <v>23940.59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82374.740000000005</v>
      </c>
      <c r="I543" s="18"/>
      <c r="J543" s="18"/>
      <c r="K543" s="18"/>
      <c r="L543" s="88">
        <f>SUM(F543:K543)</f>
        <v>82374.740000000005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185853.1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185853.1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5737769.5200000005</v>
      </c>
      <c r="G545" s="89">
        <f t="shared" ref="G545:L545" si="41">G524+G529+G534+G539+G544</f>
        <v>1683716.8299999998</v>
      </c>
      <c r="H545" s="89">
        <f t="shared" si="41"/>
        <v>1617626.74</v>
      </c>
      <c r="I545" s="89">
        <f t="shared" si="41"/>
        <v>55206.710000000006</v>
      </c>
      <c r="J545" s="89">
        <f t="shared" si="41"/>
        <v>26158.35</v>
      </c>
      <c r="K545" s="89">
        <f t="shared" si="41"/>
        <v>1206.32</v>
      </c>
      <c r="L545" s="89">
        <f t="shared" si="41"/>
        <v>9121684.4699999988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2446834.8199999998</v>
      </c>
      <c r="G549" s="87">
        <f>L526</f>
        <v>1084833</v>
      </c>
      <c r="H549" s="87">
        <f>L531</f>
        <v>141623.88</v>
      </c>
      <c r="I549" s="87">
        <f>L536</f>
        <v>22289.08</v>
      </c>
      <c r="J549" s="87">
        <f>L541</f>
        <v>79537.77</v>
      </c>
      <c r="K549" s="87">
        <f>SUM(F549:J549)</f>
        <v>3775118.55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1478948.1099999999</v>
      </c>
      <c r="G550" s="87">
        <f>L527</f>
        <v>225249.88999999998</v>
      </c>
      <c r="H550" s="87">
        <f>L532</f>
        <v>96973.739999999991</v>
      </c>
      <c r="I550" s="87">
        <f>L537</f>
        <v>11847.05</v>
      </c>
      <c r="J550" s="87">
        <f>L542</f>
        <v>23940.59</v>
      </c>
      <c r="K550" s="87">
        <f>SUM(F550:J550)</f>
        <v>1836959.38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2715051.2500000005</v>
      </c>
      <c r="G551" s="87">
        <f>L528</f>
        <v>299947.76</v>
      </c>
      <c r="H551" s="87">
        <f>L533</f>
        <v>358737.16000000003</v>
      </c>
      <c r="I551" s="87">
        <f>L538</f>
        <v>53495.63</v>
      </c>
      <c r="J551" s="87">
        <f>L543</f>
        <v>82374.740000000005</v>
      </c>
      <c r="K551" s="87">
        <f>SUM(F551:J551)</f>
        <v>3509606.540000001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6640834.1799999997</v>
      </c>
      <c r="G552" s="89">
        <f t="shared" si="42"/>
        <v>1610030.65</v>
      </c>
      <c r="H552" s="89">
        <f t="shared" si="42"/>
        <v>597334.78</v>
      </c>
      <c r="I552" s="89">
        <f t="shared" si="42"/>
        <v>87631.760000000009</v>
      </c>
      <c r="J552" s="89">
        <f t="shared" si="42"/>
        <v>185853.1</v>
      </c>
      <c r="K552" s="89">
        <f t="shared" si="42"/>
        <v>9121684.4700000007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>
        <v>859561.74</v>
      </c>
      <c r="G557" s="18">
        <v>178485.09</v>
      </c>
      <c r="H557" s="18">
        <v>2977.97</v>
      </c>
      <c r="I557" s="18">
        <v>16181.33</v>
      </c>
      <c r="J557" s="18"/>
      <c r="K557" s="18"/>
      <c r="L557" s="88">
        <f>SUM(F557:K557)</f>
        <v>1057206.1299999999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>
        <v>94527.29</v>
      </c>
      <c r="G558" s="18">
        <v>24024.83</v>
      </c>
      <c r="H558" s="18">
        <v>969.3</v>
      </c>
      <c r="I558" s="18"/>
      <c r="J558" s="18"/>
      <c r="K558" s="18"/>
      <c r="L558" s="88">
        <f>SUM(F558:K558)</f>
        <v>119521.42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>
        <v>5927.33</v>
      </c>
      <c r="G559" s="18">
        <v>2174.73</v>
      </c>
      <c r="H559" s="18">
        <v>82569.63</v>
      </c>
      <c r="I559" s="18">
        <v>61.88</v>
      </c>
      <c r="J559" s="18">
        <v>1462.88</v>
      </c>
      <c r="K559" s="18"/>
      <c r="L559" s="88">
        <f>SUM(F559:K559)</f>
        <v>92196.450000000012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960016.36</v>
      </c>
      <c r="G560" s="108">
        <f t="shared" si="43"/>
        <v>204684.65</v>
      </c>
      <c r="H560" s="108">
        <f t="shared" si="43"/>
        <v>86516.900000000009</v>
      </c>
      <c r="I560" s="108">
        <f t="shared" si="43"/>
        <v>16243.21</v>
      </c>
      <c r="J560" s="108">
        <f t="shared" si="43"/>
        <v>1462.88</v>
      </c>
      <c r="K560" s="108">
        <f t="shared" si="43"/>
        <v>0</v>
      </c>
      <c r="L560" s="89">
        <f t="shared" si="43"/>
        <v>1268923.9999999998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75849.95</v>
      </c>
      <c r="G562" s="18">
        <v>15855.19</v>
      </c>
      <c r="H562" s="18">
        <v>2705.56</v>
      </c>
      <c r="I562" s="18">
        <v>1331.44</v>
      </c>
      <c r="J562" s="18"/>
      <c r="K562" s="18"/>
      <c r="L562" s="88">
        <f>SUM(F562:K562)</f>
        <v>95742.14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>
        <v>40315.629999999997</v>
      </c>
      <c r="G563" s="18">
        <v>8427.32</v>
      </c>
      <c r="H563" s="18">
        <v>3514.88</v>
      </c>
      <c r="I563" s="18">
        <v>257.29000000000002</v>
      </c>
      <c r="J563" s="18"/>
      <c r="K563" s="18"/>
      <c r="L563" s="88">
        <f>SUM(F563:K563)</f>
        <v>52515.119999999995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>
        <v>82917.289999999994</v>
      </c>
      <c r="G564" s="18">
        <v>17332.5</v>
      </c>
      <c r="H564" s="18">
        <v>1580.62</v>
      </c>
      <c r="I564" s="18">
        <v>1193.77</v>
      </c>
      <c r="J564" s="18"/>
      <c r="K564" s="18"/>
      <c r="L564" s="88">
        <f>SUM(F564:K564)</f>
        <v>103024.18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199082.87</v>
      </c>
      <c r="G565" s="89">
        <f t="shared" si="44"/>
        <v>41615.01</v>
      </c>
      <c r="H565" s="89">
        <f t="shared" si="44"/>
        <v>7801.06</v>
      </c>
      <c r="I565" s="89">
        <f t="shared" si="44"/>
        <v>2782.5</v>
      </c>
      <c r="J565" s="89">
        <f t="shared" si="44"/>
        <v>0</v>
      </c>
      <c r="K565" s="89">
        <f t="shared" si="44"/>
        <v>0</v>
      </c>
      <c r="L565" s="89">
        <f t="shared" si="44"/>
        <v>251281.44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>
        <v>9724.4500000000007</v>
      </c>
      <c r="G567" s="18">
        <v>805.54</v>
      </c>
      <c r="H567" s="18">
        <v>80052.479999999996</v>
      </c>
      <c r="I567" s="18">
        <v>4060.19</v>
      </c>
      <c r="J567" s="18"/>
      <c r="K567" s="18"/>
      <c r="L567" s="88">
        <f>SUM(F567:K567)</f>
        <v>94642.66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>
        <v>2750</v>
      </c>
      <c r="J568" s="18"/>
      <c r="K568" s="18"/>
      <c r="L568" s="88">
        <f>SUM(F568:K568)</f>
        <v>2750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>
        <v>52091</v>
      </c>
      <c r="G569" s="18">
        <v>3996.72</v>
      </c>
      <c r="H569" s="18"/>
      <c r="I569" s="18">
        <v>15295.93</v>
      </c>
      <c r="J569" s="18"/>
      <c r="K569" s="18"/>
      <c r="L569" s="88">
        <f>SUM(F569:K569)</f>
        <v>71383.649999999994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61815.45</v>
      </c>
      <c r="G570" s="193">
        <f t="shared" ref="G570:L570" si="45">SUM(G567:G569)</f>
        <v>4802.26</v>
      </c>
      <c r="H570" s="193">
        <f t="shared" si="45"/>
        <v>80052.479999999996</v>
      </c>
      <c r="I570" s="193">
        <f t="shared" si="45"/>
        <v>22106.120000000003</v>
      </c>
      <c r="J570" s="193">
        <f t="shared" si="45"/>
        <v>0</v>
      </c>
      <c r="K570" s="193">
        <f t="shared" si="45"/>
        <v>0</v>
      </c>
      <c r="L570" s="193">
        <f t="shared" si="45"/>
        <v>168776.31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1220914.68</v>
      </c>
      <c r="G571" s="89">
        <f t="shared" ref="G571:L571" si="46">G560+G565+G570</f>
        <v>251101.92</v>
      </c>
      <c r="H571" s="89">
        <f t="shared" si="46"/>
        <v>174370.44</v>
      </c>
      <c r="I571" s="89">
        <f t="shared" si="46"/>
        <v>41131.83</v>
      </c>
      <c r="J571" s="89">
        <f t="shared" si="46"/>
        <v>1462.88</v>
      </c>
      <c r="K571" s="89">
        <f t="shared" si="46"/>
        <v>0</v>
      </c>
      <c r="L571" s="89">
        <f t="shared" si="46"/>
        <v>1688981.7499999998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226470.51</v>
      </c>
      <c r="G582" s="18">
        <v>36187.199999999997</v>
      </c>
      <c r="H582" s="18">
        <v>745662.9</v>
      </c>
      <c r="I582" s="87">
        <f t="shared" si="47"/>
        <v>1008320.6100000001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254183.47</v>
      </c>
      <c r="I591" s="18">
        <v>135103.14000000001</v>
      </c>
      <c r="J591" s="18">
        <v>277867.09999999998</v>
      </c>
      <c r="K591" s="104">
        <f t="shared" ref="K591:K597" si="48">SUM(H591:J591)</f>
        <v>667153.71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79537.77</v>
      </c>
      <c r="I592" s="18">
        <v>23940.59</v>
      </c>
      <c r="J592" s="18">
        <v>82374.740000000005</v>
      </c>
      <c r="K592" s="104">
        <f t="shared" si="48"/>
        <v>185853.1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2179.64</v>
      </c>
      <c r="K593" s="104">
        <f t="shared" si="48"/>
        <v>2179.64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1174.8499999999999</v>
      </c>
      <c r="I594" s="18">
        <v>10717.96</v>
      </c>
      <c r="J594" s="18">
        <v>64905.66</v>
      </c>
      <c r="K594" s="104">
        <f t="shared" si="48"/>
        <v>76798.47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35389.03</v>
      </c>
      <c r="I595" s="18">
        <v>23387.95</v>
      </c>
      <c r="J595" s="18">
        <v>16143.55</v>
      </c>
      <c r="K595" s="104">
        <f t="shared" si="48"/>
        <v>74920.53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370285.12</v>
      </c>
      <c r="I598" s="108">
        <f>SUM(I591:I597)</f>
        <v>193149.64</v>
      </c>
      <c r="J598" s="108">
        <f>SUM(J591:J597)</f>
        <v>443470.69</v>
      </c>
      <c r="K598" s="108">
        <f>SUM(K591:K597)</f>
        <v>1006905.45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>
        <v>73132.759999999995</v>
      </c>
      <c r="I603" s="18"/>
      <c r="J603" s="18"/>
      <c r="K603" s="104">
        <f>SUM(H603:J603)</f>
        <v>73132.759999999995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104838.99</v>
      </c>
      <c r="I604" s="18">
        <v>60315.9</v>
      </c>
      <c r="J604" s="18">
        <v>143442.91</v>
      </c>
      <c r="K604" s="104">
        <f>SUM(H604:J604)</f>
        <v>308597.80000000005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177971.75</v>
      </c>
      <c r="I605" s="108">
        <f>SUM(I602:I604)</f>
        <v>60315.9</v>
      </c>
      <c r="J605" s="108">
        <f>SUM(J602:J604)</f>
        <v>143442.91</v>
      </c>
      <c r="K605" s="108">
        <f>SUM(K602:K604)</f>
        <v>381730.56000000006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8932.81</v>
      </c>
      <c r="G611" s="18">
        <v>1389.36</v>
      </c>
      <c r="H611" s="18"/>
      <c r="I611" s="18"/>
      <c r="J611" s="18"/>
      <c r="K611" s="18"/>
      <c r="L611" s="88">
        <f>SUM(F611:K611)</f>
        <v>10322.17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4747.95</v>
      </c>
      <c r="G612" s="18">
        <v>738.47</v>
      </c>
      <c r="H612" s="18"/>
      <c r="I612" s="18"/>
      <c r="J612" s="18"/>
      <c r="K612" s="18"/>
      <c r="L612" s="88">
        <f>SUM(F612:K612)</f>
        <v>5486.42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15835.13</v>
      </c>
      <c r="G613" s="18">
        <v>4919.6400000000003</v>
      </c>
      <c r="H613" s="18">
        <v>230.3</v>
      </c>
      <c r="I613" s="18"/>
      <c r="J613" s="18"/>
      <c r="K613" s="18"/>
      <c r="L613" s="88">
        <f>SUM(F613:K613)</f>
        <v>20985.07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29515.89</v>
      </c>
      <c r="G614" s="108">
        <f t="shared" si="49"/>
        <v>7047.47</v>
      </c>
      <c r="H614" s="108">
        <f t="shared" si="49"/>
        <v>230.3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36793.660000000003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0</v>
      </c>
      <c r="H617" s="109">
        <f>SUM(F52)</f>
        <v>0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165650.77000000002</v>
      </c>
      <c r="H618" s="109">
        <f>SUM(G52)</f>
        <v>165650.77000000002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1319061.46</v>
      </c>
      <c r="H619" s="109">
        <f>SUM(H52)</f>
        <v>1319061.46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5898845.8799999999</v>
      </c>
      <c r="H621" s="109">
        <f>SUM(J52)</f>
        <v>5898845.8799999999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0</v>
      </c>
      <c r="H622" s="109">
        <f>F476</f>
        <v>0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31602.38</v>
      </c>
      <c r="H623" s="109">
        <f>G476</f>
        <v>31602.380000000005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609903.89</v>
      </c>
      <c r="H624" s="109">
        <f>H476</f>
        <v>609903.88999999873</v>
      </c>
      <c r="I624" s="121" t="s">
        <v>103</v>
      </c>
      <c r="J624" s="109">
        <f t="shared" si="50"/>
        <v>1.280568540096283E-9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5898845.8799999999</v>
      </c>
      <c r="H626" s="109">
        <f>J476</f>
        <v>5898845.8799999999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44683780.700000003</v>
      </c>
      <c r="H627" s="104">
        <f>SUM(F468)</f>
        <v>44683780.700000003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992740.98</v>
      </c>
      <c r="H628" s="104">
        <f>SUM(G468)</f>
        <v>992740.98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4799666.0999999996</v>
      </c>
      <c r="H629" s="104">
        <f>SUM(H468)</f>
        <v>4799666.0999999996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714857.02</v>
      </c>
      <c r="H631" s="104">
        <f>SUM(J468)</f>
        <v>714857.02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44683780.700000003</v>
      </c>
      <c r="H632" s="104">
        <f>SUM(F472)</f>
        <v>44683780.700000003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4779285.4800000004</v>
      </c>
      <c r="H633" s="104">
        <f>SUM(H472)</f>
        <v>4779285.4800000004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409487.61</v>
      </c>
      <c r="H634" s="104">
        <f>I369</f>
        <v>409487.61000000004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960741.02</v>
      </c>
      <c r="H635" s="104">
        <f>SUM(G472)</f>
        <v>960741.02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714857.02</v>
      </c>
      <c r="H637" s="164">
        <f>SUM(J468)</f>
        <v>714857.02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134972.38</v>
      </c>
      <c r="H638" s="164">
        <f>SUM(J472)</f>
        <v>134972.38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5898845.8799999999</v>
      </c>
      <c r="H641" s="104">
        <f>SUM(H461)</f>
        <v>5898845.8799999999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5898845.8799999999</v>
      </c>
      <c r="H642" s="104">
        <f>SUM(I461)</f>
        <v>5898845.8799999999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708678.12</v>
      </c>
      <c r="H644" s="104">
        <f>H408</f>
        <v>708678.12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714857.02</v>
      </c>
      <c r="H646" s="104">
        <f>L408</f>
        <v>714857.02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1006905.45</v>
      </c>
      <c r="H647" s="104">
        <f>L208+L226+L244</f>
        <v>1006905.45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381730.56000000006</v>
      </c>
      <c r="H648" s="104">
        <f>(J257+J338)-(J255+J336)</f>
        <v>381730.56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370285.12</v>
      </c>
      <c r="H649" s="104">
        <f>H598</f>
        <v>370285.12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193149.64</v>
      </c>
      <c r="H650" s="104">
        <f>I598</f>
        <v>193149.64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443470.69</v>
      </c>
      <c r="H651" s="104">
        <f>J598</f>
        <v>443470.69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132000</v>
      </c>
      <c r="H652" s="104">
        <f>K263+K345</f>
        <v>132000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1030097</v>
      </c>
      <c r="H653" s="104">
        <f>K264</f>
        <v>1030097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19021267.020000003</v>
      </c>
      <c r="G660" s="19">
        <f>(L229+L309+L359)</f>
        <v>9623904.0199999977</v>
      </c>
      <c r="H660" s="19">
        <f>(L247+L328+L360)</f>
        <v>20166539.16</v>
      </c>
      <c r="I660" s="19">
        <f>SUM(F660:H660)</f>
        <v>48811710.200000003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168557.75869438372</v>
      </c>
      <c r="G661" s="19">
        <f>(L359/IF(SUM(L358:L360)=0,1,SUM(L358:L360))*(SUM(G97:G110)))</f>
        <v>124674.41345114775</v>
      </c>
      <c r="H661" s="19">
        <f>(L360/IF(SUM(L358:L360)=0,1,SUM(L358:L360))*(SUM(G97:G110)))</f>
        <v>216760.39785446849</v>
      </c>
      <c r="I661" s="19">
        <f>SUM(F661:H661)</f>
        <v>509992.56999999995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378206.32</v>
      </c>
      <c r="G662" s="19">
        <f>(L226+L306)-(J226+J306)</f>
        <v>193632.17</v>
      </c>
      <c r="H662" s="19">
        <f>(L244+L325)-(J244+J325)</f>
        <v>474208.31</v>
      </c>
      <c r="I662" s="19">
        <f>SUM(F662:H662)</f>
        <v>1046046.8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414764.43</v>
      </c>
      <c r="G663" s="199">
        <f>SUM(G575:G587)+SUM(I602:I604)+L612</f>
        <v>101989.52</v>
      </c>
      <c r="H663" s="199">
        <f>SUM(H575:H587)+SUM(J602:J604)+L613</f>
        <v>910090.88</v>
      </c>
      <c r="I663" s="19">
        <f>SUM(F663:H663)</f>
        <v>1426844.83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18059738.511305619</v>
      </c>
      <c r="G664" s="19">
        <f>G660-SUM(G661:G663)</f>
        <v>9203607.91654885</v>
      </c>
      <c r="H664" s="19">
        <f>H660-SUM(H661:H663)</f>
        <v>18565479.572145533</v>
      </c>
      <c r="I664" s="19">
        <f>I660-SUM(I661:I663)</f>
        <v>45828826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979.71</v>
      </c>
      <c r="G665" s="248">
        <v>520.25</v>
      </c>
      <c r="H665" s="248">
        <v>1070</v>
      </c>
      <c r="I665" s="19">
        <f>SUM(F665:H665)</f>
        <v>2569.96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18433.759999999998</v>
      </c>
      <c r="G667" s="19">
        <f>ROUND(G664/G665,2)</f>
        <v>17690.740000000002</v>
      </c>
      <c r="H667" s="19">
        <f>ROUND(H664/H665,2)</f>
        <v>17350.919999999998</v>
      </c>
      <c r="I667" s="19">
        <f>ROUND(I664/I665,2)</f>
        <v>17832.509999999998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-0.61</v>
      </c>
      <c r="I670" s="19">
        <f>SUM(F670:H670)</f>
        <v>-0.61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18433.759999999998</v>
      </c>
      <c r="G672" s="19">
        <f>ROUND((G664+G669)/(G665+G670),2)</f>
        <v>17690.740000000002</v>
      </c>
      <c r="H672" s="19">
        <f>ROUND((H664+H669)/(H665+H670),2)</f>
        <v>17360.810000000001</v>
      </c>
      <c r="I672" s="19">
        <f>ROUND((I664+I669)/(I665+I670),2)</f>
        <v>17836.740000000002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Portsmouth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13314827.27</v>
      </c>
      <c r="C9" s="229">
        <f>'DOE25'!G197+'DOE25'!G215+'DOE25'!G233+'DOE25'!G276+'DOE25'!G295+'DOE25'!G314</f>
        <v>6947071.6200000001</v>
      </c>
    </row>
    <row r="10" spans="1:3" x14ac:dyDescent="0.2">
      <c r="A10" t="s">
        <v>778</v>
      </c>
      <c r="B10" s="240">
        <v>12312409.58</v>
      </c>
      <c r="C10" s="240">
        <v>6720462.2699999996</v>
      </c>
    </row>
    <row r="11" spans="1:3" x14ac:dyDescent="0.2">
      <c r="A11" t="s">
        <v>779</v>
      </c>
      <c r="B11" s="240">
        <v>448137.56</v>
      </c>
      <c r="C11" s="240">
        <v>184206.92</v>
      </c>
    </row>
    <row r="12" spans="1:3" x14ac:dyDescent="0.2">
      <c r="A12" t="s">
        <v>780</v>
      </c>
      <c r="B12" s="240">
        <v>554280.13</v>
      </c>
      <c r="C12" s="240">
        <v>42402.43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13314827.270000001</v>
      </c>
      <c r="C13" s="231">
        <f>SUM(C10:C12)</f>
        <v>6947071.6199999992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4713422.6099999994</v>
      </c>
      <c r="C18" s="229">
        <f>'DOE25'!G198+'DOE25'!G216+'DOE25'!G234+'DOE25'!G277+'DOE25'!G296+'DOE25'!G315</f>
        <v>1631492.59</v>
      </c>
    </row>
    <row r="19" spans="1:3" x14ac:dyDescent="0.2">
      <c r="A19" t="s">
        <v>778</v>
      </c>
      <c r="B19" s="240">
        <v>2922933.11</v>
      </c>
      <c r="C19" s="240">
        <v>1118962.02</v>
      </c>
    </row>
    <row r="20" spans="1:3" x14ac:dyDescent="0.2">
      <c r="A20" t="s">
        <v>779</v>
      </c>
      <c r="B20" s="240">
        <v>1719948.03</v>
      </c>
      <c r="C20" s="240">
        <v>507134.15</v>
      </c>
    </row>
    <row r="21" spans="1:3" x14ac:dyDescent="0.2">
      <c r="A21" t="s">
        <v>780</v>
      </c>
      <c r="B21" s="240">
        <v>70541.47</v>
      </c>
      <c r="C21" s="240">
        <v>5396.42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4713422.6099999994</v>
      </c>
      <c r="C22" s="231">
        <f>SUM(C19:C21)</f>
        <v>1631492.5899999999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970380.80999999994</v>
      </c>
      <c r="C27" s="234">
        <f>'DOE25'!G199+'DOE25'!G217+'DOE25'!G235+'DOE25'!G278+'DOE25'!G297+'DOE25'!G316</f>
        <v>529456.46</v>
      </c>
    </row>
    <row r="28" spans="1:3" x14ac:dyDescent="0.2">
      <c r="A28" t="s">
        <v>778</v>
      </c>
      <c r="B28" s="240">
        <v>970380.81</v>
      </c>
      <c r="C28" s="240">
        <v>529456.46</v>
      </c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970380.81</v>
      </c>
      <c r="C31" s="231">
        <f>SUM(C28:C30)</f>
        <v>529456.46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469429.52</v>
      </c>
      <c r="C36" s="235">
        <f>'DOE25'!G200+'DOE25'!G218+'DOE25'!G236+'DOE25'!G279+'DOE25'!G298+'DOE25'!G317</f>
        <v>130873.17000000001</v>
      </c>
    </row>
    <row r="37" spans="1:3" x14ac:dyDescent="0.2">
      <c r="A37" t="s">
        <v>778</v>
      </c>
      <c r="B37" s="240">
        <v>428492.79999999999</v>
      </c>
      <c r="C37" s="240">
        <v>127741.61</v>
      </c>
    </row>
    <row r="38" spans="1:3" x14ac:dyDescent="0.2">
      <c r="A38" t="s">
        <v>779</v>
      </c>
      <c r="B38" s="240">
        <v>0</v>
      </c>
      <c r="C38" s="240">
        <v>0</v>
      </c>
    </row>
    <row r="39" spans="1:3" x14ac:dyDescent="0.2">
      <c r="A39" t="s">
        <v>780</v>
      </c>
      <c r="B39" s="240">
        <v>40936.720000000001</v>
      </c>
      <c r="C39" s="240">
        <v>3131.56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469429.52</v>
      </c>
      <c r="C40" s="231">
        <f>SUM(C37:C39)</f>
        <v>130873.17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Portsmouth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27216450.700000003</v>
      </c>
      <c r="D5" s="20">
        <f>SUM('DOE25'!L197:L200)+SUM('DOE25'!L215:L218)+SUM('DOE25'!L233:L236)-F5-G5</f>
        <v>27168151.210000005</v>
      </c>
      <c r="E5" s="243"/>
      <c r="F5" s="255">
        <f>SUM('DOE25'!J197:J200)+SUM('DOE25'!J215:J218)+SUM('DOE25'!J233:J236)</f>
        <v>46179.49</v>
      </c>
      <c r="G5" s="53">
        <f>SUM('DOE25'!K197:K200)+SUM('DOE25'!K215:K218)+SUM('DOE25'!K233:K236)</f>
        <v>2120</v>
      </c>
      <c r="H5" s="259"/>
    </row>
    <row r="6" spans="1:9" x14ac:dyDescent="0.2">
      <c r="A6" s="32">
        <v>2100</v>
      </c>
      <c r="B6" t="s">
        <v>800</v>
      </c>
      <c r="C6" s="245">
        <f t="shared" si="0"/>
        <v>5032832.3499999996</v>
      </c>
      <c r="D6" s="20">
        <f>'DOE25'!L202+'DOE25'!L220+'DOE25'!L238-F6-G6</f>
        <v>5015557.26</v>
      </c>
      <c r="E6" s="243"/>
      <c r="F6" s="255">
        <f>'DOE25'!J202+'DOE25'!J220+'DOE25'!J238</f>
        <v>0</v>
      </c>
      <c r="G6" s="53">
        <f>'DOE25'!K202+'DOE25'!K220+'DOE25'!K238</f>
        <v>17275.09</v>
      </c>
      <c r="H6" s="259"/>
    </row>
    <row r="7" spans="1:9" x14ac:dyDescent="0.2">
      <c r="A7" s="32">
        <v>2200</v>
      </c>
      <c r="B7" t="s">
        <v>833</v>
      </c>
      <c r="C7" s="245">
        <f t="shared" si="0"/>
        <v>829273.87</v>
      </c>
      <c r="D7" s="20">
        <f>'DOE25'!L203+'DOE25'!L221+'DOE25'!L239-F7-G7</f>
        <v>725251</v>
      </c>
      <c r="E7" s="243"/>
      <c r="F7" s="255">
        <f>'DOE25'!J203+'DOE25'!J221+'DOE25'!J239</f>
        <v>103722.87</v>
      </c>
      <c r="G7" s="53">
        <f>'DOE25'!K203+'DOE25'!K221+'DOE25'!K239</f>
        <v>300</v>
      </c>
      <c r="H7" s="259"/>
    </row>
    <row r="8" spans="1:9" x14ac:dyDescent="0.2">
      <c r="A8" s="32">
        <v>2300</v>
      </c>
      <c r="B8" t="s">
        <v>801</v>
      </c>
      <c r="C8" s="245">
        <f t="shared" si="0"/>
        <v>976290.7799999998</v>
      </c>
      <c r="D8" s="243"/>
      <c r="E8" s="20">
        <f>'DOE25'!L204+'DOE25'!L222+'DOE25'!L240-F8-G8-D9-D11</f>
        <v>938347.39999999979</v>
      </c>
      <c r="F8" s="255">
        <f>'DOE25'!J204+'DOE25'!J222+'DOE25'!J240</f>
        <v>1512.3400000000001</v>
      </c>
      <c r="G8" s="53">
        <f>'DOE25'!K204+'DOE25'!K222+'DOE25'!K240</f>
        <v>36431.040000000001</v>
      </c>
      <c r="H8" s="259"/>
    </row>
    <row r="9" spans="1:9" x14ac:dyDescent="0.2">
      <c r="A9" s="32">
        <v>2310</v>
      </c>
      <c r="B9" t="s">
        <v>817</v>
      </c>
      <c r="C9" s="245">
        <f t="shared" si="0"/>
        <v>15440.78</v>
      </c>
      <c r="D9" s="244">
        <v>15440.78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1600</v>
      </c>
      <c r="D10" s="243"/>
      <c r="E10" s="244">
        <v>1600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531488.38</v>
      </c>
      <c r="D11" s="244">
        <v>531488.38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2399152.46</v>
      </c>
      <c r="D12" s="20">
        <f>'DOE25'!L205+'DOE25'!L223+'DOE25'!L241-F12-G12</f>
        <v>2388177.58</v>
      </c>
      <c r="E12" s="243"/>
      <c r="F12" s="255">
        <f>'DOE25'!J205+'DOE25'!J223+'DOE25'!J241</f>
        <v>7244.88</v>
      </c>
      <c r="G12" s="53">
        <f>'DOE25'!K205+'DOE25'!K223+'DOE25'!K241</f>
        <v>3730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549691.83000000007</v>
      </c>
      <c r="D13" s="243"/>
      <c r="E13" s="20">
        <f>'DOE25'!L206+'DOE25'!L224+'DOE25'!L242-F13-G13</f>
        <v>546641.49000000011</v>
      </c>
      <c r="F13" s="255">
        <f>'DOE25'!J206+'DOE25'!J224+'DOE25'!J242</f>
        <v>2500.34</v>
      </c>
      <c r="G13" s="53">
        <f>'DOE25'!K206+'DOE25'!K224+'DOE25'!K242</f>
        <v>550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4059390.04</v>
      </c>
      <c r="D14" s="20">
        <f>'DOE25'!L207+'DOE25'!L225+'DOE25'!L243-F14-G14</f>
        <v>3987104</v>
      </c>
      <c r="E14" s="243"/>
      <c r="F14" s="255">
        <f>'DOE25'!J207+'DOE25'!J225+'DOE25'!J243</f>
        <v>57225.09</v>
      </c>
      <c r="G14" s="53">
        <f>'DOE25'!K207+'DOE25'!K225+'DOE25'!K243</f>
        <v>15060.95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1006905.45</v>
      </c>
      <c r="D15" s="20">
        <f>'DOE25'!L208+'DOE25'!L226+'DOE25'!L244-F15-G15</f>
        <v>1006905.45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904767.06</v>
      </c>
      <c r="D16" s="243"/>
      <c r="E16" s="20">
        <f>'DOE25'!L209+'DOE25'!L227+'DOE25'!L245-F16-G16</f>
        <v>902767.07000000007</v>
      </c>
      <c r="F16" s="255">
        <f>'DOE25'!J209+'DOE25'!J227+'DOE25'!J245</f>
        <v>0</v>
      </c>
      <c r="G16" s="53">
        <f>'DOE25'!K209+'DOE25'!K227+'DOE25'!K245</f>
        <v>1999.99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583432.5</v>
      </c>
      <c r="D29" s="20">
        <f>'DOE25'!L358+'DOE25'!L359+'DOE25'!L360-'DOE25'!I367-F29-G29</f>
        <v>582621.75</v>
      </c>
      <c r="E29" s="243"/>
      <c r="F29" s="255">
        <f>'DOE25'!J358+'DOE25'!J359+'DOE25'!J360</f>
        <v>0</v>
      </c>
      <c r="G29" s="53">
        <f>'DOE25'!K358+'DOE25'!K359+'DOE25'!K360</f>
        <v>810.75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4329285.4800000004</v>
      </c>
      <c r="D31" s="20">
        <f>'DOE25'!L290+'DOE25'!L309+'DOE25'!L328+'DOE25'!L333+'DOE25'!L334+'DOE25'!L335-F31-G31</f>
        <v>4162433.6000000006</v>
      </c>
      <c r="E31" s="243"/>
      <c r="F31" s="255">
        <f>'DOE25'!J290+'DOE25'!J309+'DOE25'!J328+'DOE25'!J333+'DOE25'!J334+'DOE25'!J335</f>
        <v>163345.54999999999</v>
      </c>
      <c r="G31" s="53">
        <f>'DOE25'!K290+'DOE25'!K309+'DOE25'!K328+'DOE25'!K333+'DOE25'!K334+'DOE25'!K335</f>
        <v>3506.33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45583131.010000013</v>
      </c>
      <c r="E33" s="246">
        <f>SUM(E5:E31)</f>
        <v>2389355.96</v>
      </c>
      <c r="F33" s="246">
        <f>SUM(F5:F31)</f>
        <v>381730.55999999994</v>
      </c>
      <c r="G33" s="246">
        <f>SUM(G5:G31)</f>
        <v>81784.150000000009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2389355.96</v>
      </c>
      <c r="E35" s="249"/>
    </row>
    <row r="36" spans="2:8" ht="12" thickTop="1" x14ac:dyDescent="0.2">
      <c r="B36" t="s">
        <v>814</v>
      </c>
      <c r="D36" s="20">
        <f>D33</f>
        <v>45583131.010000013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0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Portsmouth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65335.360000000001</v>
      </c>
      <c r="E8" s="95">
        <f>'DOE25'!H9</f>
        <v>0</v>
      </c>
      <c r="F8" s="95">
        <f>'DOE25'!I9</f>
        <v>0</v>
      </c>
      <c r="G8" s="95">
        <f>'DOE25'!J9</f>
        <v>9561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32222.41</v>
      </c>
      <c r="E11" s="95">
        <f>'DOE25'!H12</f>
        <v>609903.89</v>
      </c>
      <c r="F11" s="95">
        <f>'DOE25'!I12</f>
        <v>0</v>
      </c>
      <c r="G11" s="95">
        <f>'DOE25'!J12</f>
        <v>5889284.8799999999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20738.46</v>
      </c>
      <c r="E12" s="95">
        <f>'DOE25'!H13</f>
        <v>709157.57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47354.54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0</v>
      </c>
      <c r="D18" s="41">
        <f>SUM(D8:D17)</f>
        <v>165650.77000000002</v>
      </c>
      <c r="E18" s="41">
        <f>SUM(E8:E17)</f>
        <v>1319061.46</v>
      </c>
      <c r="F18" s="41">
        <f>SUM(F8:F17)</f>
        <v>0</v>
      </c>
      <c r="G18" s="41">
        <f>SUM(G8:G17)</f>
        <v>5898845.8799999999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708557.57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600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52895.08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81153.31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134048.39000000001</v>
      </c>
      <c r="E31" s="41">
        <f>SUM(E21:E30)</f>
        <v>709157.57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5773993.7800000003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124852.1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31602.38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609903.89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0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0</v>
      </c>
      <c r="D50" s="41">
        <f>SUM(D34:D49)</f>
        <v>31602.38</v>
      </c>
      <c r="E50" s="41">
        <f>SUM(E34:E49)</f>
        <v>609903.89</v>
      </c>
      <c r="F50" s="41">
        <f>SUM(F34:F49)</f>
        <v>0</v>
      </c>
      <c r="G50" s="41">
        <f>SUM(G34:G49)</f>
        <v>5898845.8799999999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0</v>
      </c>
      <c r="D51" s="41">
        <f>D50+D31</f>
        <v>165650.77000000002</v>
      </c>
      <c r="E51" s="41">
        <f>E50+E31</f>
        <v>1319061.46</v>
      </c>
      <c r="F51" s="41">
        <f>F50+F31</f>
        <v>0</v>
      </c>
      <c r="G51" s="41">
        <f>G50+G31</f>
        <v>5898845.8799999999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25522215.870000001</v>
      </c>
      <c r="D56" s="95">
        <f>'DOE25'!G60</f>
        <v>0</v>
      </c>
      <c r="E56" s="95">
        <f>'DOE25'!H60</f>
        <v>166545.4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6098763.21</v>
      </c>
      <c r="D57" s="24" t="s">
        <v>288</v>
      </c>
      <c r="E57" s="95">
        <f>'DOE25'!H79</f>
        <v>837446.60000000009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708678.12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509041.86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12656.24</v>
      </c>
      <c r="D61" s="95">
        <f>SUM('DOE25'!G98:G110)</f>
        <v>950.71</v>
      </c>
      <c r="E61" s="95">
        <f>SUM('DOE25'!H98:H110)</f>
        <v>277718.43</v>
      </c>
      <c r="F61" s="95">
        <f>SUM('DOE25'!I98:I110)</f>
        <v>0</v>
      </c>
      <c r="G61" s="95">
        <f>SUM('DOE25'!J98:J110)</f>
        <v>6178.9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6111419.4500000002</v>
      </c>
      <c r="D62" s="130">
        <f>SUM(D57:D61)</f>
        <v>509992.57</v>
      </c>
      <c r="E62" s="130">
        <f>SUM(E57:E61)</f>
        <v>1115165.03</v>
      </c>
      <c r="F62" s="130">
        <f>SUM(F57:F61)</f>
        <v>0</v>
      </c>
      <c r="G62" s="130">
        <f>SUM(G57:G61)</f>
        <v>714857.02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31633635.32</v>
      </c>
      <c r="D63" s="22">
        <f>D56+D62</f>
        <v>509992.57</v>
      </c>
      <c r="E63" s="22">
        <f>E56+E62</f>
        <v>1281710.43</v>
      </c>
      <c r="F63" s="22">
        <f>F56+F62</f>
        <v>0</v>
      </c>
      <c r="G63" s="22">
        <f>G56+G62</f>
        <v>714857.02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0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11070907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11070907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1812692.98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166545.4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8260.73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1979238.38</v>
      </c>
      <c r="D78" s="130">
        <f>SUM(D72:D77)</f>
        <v>8260.73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450000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13050145.379999999</v>
      </c>
      <c r="D81" s="130">
        <f>SUM(D79:D80)+D78+D70</f>
        <v>8260.73</v>
      </c>
      <c r="E81" s="130">
        <f>SUM(E79:E80)+E78+E70</f>
        <v>450000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0</v>
      </c>
      <c r="D88" s="95">
        <f>SUM('DOE25'!G153:G161)</f>
        <v>342487.68000000005</v>
      </c>
      <c r="E88" s="95">
        <f>SUM('DOE25'!H153:H161)</f>
        <v>2037858.67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0</v>
      </c>
      <c r="D91" s="131">
        <f>SUM(D85:D90)</f>
        <v>342487.68000000005</v>
      </c>
      <c r="E91" s="131">
        <f>SUM(E85:E90)</f>
        <v>2037858.67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132000</v>
      </c>
      <c r="E96" s="95">
        <f>'DOE25'!H179</f>
        <v>1030097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132000</v>
      </c>
      <c r="E103" s="86">
        <f>SUM(E93:E102)</f>
        <v>1030097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44683780.700000003</v>
      </c>
      <c r="D104" s="86">
        <f>D63+D81+D91+D103</f>
        <v>992740.98</v>
      </c>
      <c r="E104" s="86">
        <f>E63+E81+E91+E103</f>
        <v>4799666.0999999996</v>
      </c>
      <c r="F104" s="86">
        <f>F63+F81+F91+F103</f>
        <v>0</v>
      </c>
      <c r="G104" s="86">
        <f>G63+G81+G103</f>
        <v>714857.02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20224854.420000002</v>
      </c>
      <c r="D109" s="24" t="s">
        <v>288</v>
      </c>
      <c r="E109" s="95">
        <f>('DOE25'!L276)+('DOE25'!L295)+('DOE25'!L314)</f>
        <v>540411.89000000013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4791822.41</v>
      </c>
      <c r="D110" s="24" t="s">
        <v>288</v>
      </c>
      <c r="E110" s="95">
        <f>('DOE25'!L277)+('DOE25'!L296)+('DOE25'!L315)</f>
        <v>2743034.66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1490508.4899999998</v>
      </c>
      <c r="D111" s="24" t="s">
        <v>288</v>
      </c>
      <c r="E111" s="95">
        <f>('DOE25'!L278)+('DOE25'!L297)+('DOE25'!L316)</f>
        <v>100961.11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709265.38</v>
      </c>
      <c r="D112" s="24" t="s">
        <v>288</v>
      </c>
      <c r="E112" s="95">
        <f>+('DOE25'!L279)+('DOE25'!L298)+('DOE25'!L317)</f>
        <v>224723.14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27216450.699999999</v>
      </c>
      <c r="D115" s="86">
        <f>SUM(D109:D114)</f>
        <v>0</v>
      </c>
      <c r="E115" s="86">
        <f>SUM(E109:E114)</f>
        <v>3609130.8000000003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5032832.3499999996</v>
      </c>
      <c r="D118" s="24" t="s">
        <v>288</v>
      </c>
      <c r="E118" s="95">
        <f>+('DOE25'!L281)+('DOE25'!L300)+('DOE25'!L319)</f>
        <v>120539.89000000001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829273.87</v>
      </c>
      <c r="D119" s="24" t="s">
        <v>288</v>
      </c>
      <c r="E119" s="95">
        <f>+('DOE25'!L282)+('DOE25'!L301)+('DOE25'!L320)</f>
        <v>100737.18000000001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1523219.94</v>
      </c>
      <c r="D120" s="24" t="s">
        <v>288</v>
      </c>
      <c r="E120" s="95">
        <f>+('DOE25'!L283)+('DOE25'!L302)+('DOE25'!L321)</f>
        <v>154113.60000000001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2399152.46</v>
      </c>
      <c r="D121" s="24" t="s">
        <v>288</v>
      </c>
      <c r="E121" s="95">
        <f>+('DOE25'!L284)+('DOE25'!L303)+('DOE25'!L322)</f>
        <v>126233.87000000001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549691.83000000007</v>
      </c>
      <c r="D122" s="24" t="s">
        <v>288</v>
      </c>
      <c r="E122" s="95">
        <f>+('DOE25'!L285)+('DOE25'!L304)+('DOE25'!L323)</f>
        <v>1059.3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4059390.04</v>
      </c>
      <c r="D123" s="24" t="s">
        <v>288</v>
      </c>
      <c r="E123" s="95">
        <f>+('DOE25'!L286)+('DOE25'!L305)+('DOE25'!L324)</f>
        <v>178329.49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1006905.45</v>
      </c>
      <c r="D124" s="24" t="s">
        <v>288</v>
      </c>
      <c r="E124" s="95">
        <f>+('DOE25'!L287)+('DOE25'!L306)+('DOE25'!L325)</f>
        <v>39141.35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904767.06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960741.02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16305233.000000002</v>
      </c>
      <c r="D128" s="86">
        <f>SUM(D118:D127)</f>
        <v>960741.02</v>
      </c>
      <c r="E128" s="86">
        <f>SUM(E118:E127)</f>
        <v>720154.68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18972.38</v>
      </c>
    </row>
    <row r="135" spans="1:7" x14ac:dyDescent="0.2">
      <c r="A135" t="s">
        <v>233</v>
      </c>
      <c r="B135" s="32" t="s">
        <v>234</v>
      </c>
      <c r="C135" s="95">
        <f>'DOE25'!L263</f>
        <v>132000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1030097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714857.02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-714857.02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450000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1162097</v>
      </c>
      <c r="D144" s="141">
        <f>SUM(D130:D143)</f>
        <v>0</v>
      </c>
      <c r="E144" s="141">
        <f>SUM(E130:E143)</f>
        <v>450000</v>
      </c>
      <c r="F144" s="141">
        <f>SUM(F130:F143)</f>
        <v>0</v>
      </c>
      <c r="G144" s="141">
        <f>SUM(G130:G143)</f>
        <v>18972.38</v>
      </c>
    </row>
    <row r="145" spans="1:9" ht="12.75" thickTop="1" thickBot="1" x14ac:dyDescent="0.25">
      <c r="A145" s="33" t="s">
        <v>244</v>
      </c>
      <c r="C145" s="86">
        <f>(C115+C128+C144)</f>
        <v>44683780.700000003</v>
      </c>
      <c r="D145" s="86">
        <f>(D115+D128+D144)</f>
        <v>960741.02</v>
      </c>
      <c r="E145" s="86">
        <f>(E115+E128+E144)</f>
        <v>4779285.4800000004</v>
      </c>
      <c r="F145" s="86">
        <f>(F115+F128+F144)</f>
        <v>0</v>
      </c>
      <c r="G145" s="86">
        <f>(G115+G128+G144)</f>
        <v>18972.38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Portsmouth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18434</v>
      </c>
    </row>
    <row r="5" spans="1:4" x14ac:dyDescent="0.2">
      <c r="B5" t="s">
        <v>703</v>
      </c>
      <c r="C5" s="179">
        <f>IF('DOE25'!G665+'DOE25'!G670=0,0,ROUND('DOE25'!G672,0))</f>
        <v>17691</v>
      </c>
    </row>
    <row r="6" spans="1:4" x14ac:dyDescent="0.2">
      <c r="B6" t="s">
        <v>62</v>
      </c>
      <c r="C6" s="179">
        <f>IF('DOE25'!H665+'DOE25'!H670=0,0,ROUND('DOE25'!H672,0))</f>
        <v>17361</v>
      </c>
    </row>
    <row r="7" spans="1:4" x14ac:dyDescent="0.2">
      <c r="B7" t="s">
        <v>704</v>
      </c>
      <c r="C7" s="179">
        <f>IF('DOE25'!I665+'DOE25'!I670=0,0,ROUND('DOE25'!I672,0))</f>
        <v>17837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20765266</v>
      </c>
      <c r="D10" s="182">
        <f>ROUND((C10/$C$28)*100,1)</f>
        <v>42.6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7534857</v>
      </c>
      <c r="D11" s="182">
        <f>ROUND((C11/$C$28)*100,1)</f>
        <v>15.5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1591470</v>
      </c>
      <c r="D12" s="182">
        <f>ROUND((C12/$C$28)*100,1)</f>
        <v>3.3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933989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5153372</v>
      </c>
      <c r="D15" s="182">
        <f t="shared" ref="D15:D27" si="0">ROUND((C15/$C$28)*100,1)</f>
        <v>10.6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930011</v>
      </c>
      <c r="D16" s="182">
        <f t="shared" si="0"/>
        <v>1.9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2582101</v>
      </c>
      <c r="D17" s="182">
        <f t="shared" si="0"/>
        <v>5.3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2525386</v>
      </c>
      <c r="D18" s="182">
        <f t="shared" si="0"/>
        <v>5.2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550751</v>
      </c>
      <c r="D19" s="182">
        <f t="shared" si="0"/>
        <v>1.1000000000000001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4237720</v>
      </c>
      <c r="D20" s="182">
        <f t="shared" si="0"/>
        <v>8.6999999999999993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1046047</v>
      </c>
      <c r="D21" s="182">
        <f t="shared" si="0"/>
        <v>2.1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450000</v>
      </c>
      <c r="D26" s="182">
        <f t="shared" si="0"/>
        <v>0.9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450748.43</v>
      </c>
      <c r="D27" s="182">
        <f t="shared" si="0"/>
        <v>0.9</v>
      </c>
    </row>
    <row r="28" spans="1:4" x14ac:dyDescent="0.2">
      <c r="B28" s="187" t="s">
        <v>722</v>
      </c>
      <c r="C28" s="180">
        <f>SUM(C10:C27)</f>
        <v>48751718.43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48751718.43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25688761</v>
      </c>
      <c r="D35" s="182">
        <f t="shared" ref="D35:D40" si="1">ROUND((C35/$C$41)*100,1)</f>
        <v>51.9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7941441.7700000033</v>
      </c>
      <c r="D36" s="182">
        <f t="shared" si="1"/>
        <v>16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11070907</v>
      </c>
      <c r="D37" s="182">
        <f t="shared" si="1"/>
        <v>22.4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2437499</v>
      </c>
      <c r="D38" s="182">
        <f t="shared" si="1"/>
        <v>4.9000000000000004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2380346</v>
      </c>
      <c r="D39" s="182">
        <f t="shared" si="1"/>
        <v>4.8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49518954.770000003</v>
      </c>
      <c r="D41" s="184">
        <f>SUM(D35:D40)</f>
        <v>100.00000000000001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Portsmouth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2017-09-13T13:18:44Z</cp:lastPrinted>
  <dcterms:created xsi:type="dcterms:W3CDTF">1997-12-04T19:04:30Z</dcterms:created>
  <dcterms:modified xsi:type="dcterms:W3CDTF">2017-11-29T18:00:19Z</dcterms:modified>
</cp:coreProperties>
</file>