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740" windowHeight="84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E16" i="13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D7" i="13" s="1"/>
  <c r="C7" i="13" s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C11" i="10" s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E114" i="2" s="1"/>
  <c r="L260" i="1"/>
  <c r="C131" i="2" s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3" i="1" s="1"/>
  <c r="C138" i="2" s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C26" i="10" s="1"/>
  <c r="L269" i="1"/>
  <c r="L349" i="1"/>
  <c r="L350" i="1"/>
  <c r="I665" i="1"/>
  <c r="I670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2" i="2"/>
  <c r="E112" i="2"/>
  <c r="C113" i="2"/>
  <c r="E113" i="2"/>
  <c r="C114" i="2"/>
  <c r="D115" i="2"/>
  <c r="F115" i="2"/>
  <c r="G115" i="2"/>
  <c r="C118" i="2"/>
  <c r="E118" i="2"/>
  <c r="E121" i="2"/>
  <c r="C122" i="2"/>
  <c r="E122" i="2"/>
  <c r="C123" i="2"/>
  <c r="E123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F460" i="1"/>
  <c r="G460" i="1"/>
  <c r="G461" i="1" s="1"/>
  <c r="H640" i="1" s="1"/>
  <c r="H460" i="1"/>
  <c r="F461" i="1"/>
  <c r="H461" i="1"/>
  <c r="H641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J617" i="1" s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1" i="1"/>
  <c r="G643" i="1"/>
  <c r="J643" i="1" s="1"/>
  <c r="G644" i="1"/>
  <c r="G645" i="1"/>
  <c r="G649" i="1"/>
  <c r="J649" i="1" s="1"/>
  <c r="G650" i="1"/>
  <c r="G652" i="1"/>
  <c r="H652" i="1"/>
  <c r="G653" i="1"/>
  <c r="H653" i="1"/>
  <c r="G654" i="1"/>
  <c r="H654" i="1"/>
  <c r="H655" i="1"/>
  <c r="J655" i="1" s="1"/>
  <c r="I257" i="1"/>
  <c r="I271" i="1" s="1"/>
  <c r="C18" i="2"/>
  <c r="L290" i="1"/>
  <c r="A40" i="12"/>
  <c r="D17" i="13"/>
  <c r="C17" i="13" s="1"/>
  <c r="D6" i="13"/>
  <c r="C6" i="13" s="1"/>
  <c r="D31" i="2"/>
  <c r="F18" i="2"/>
  <c r="E103" i="2"/>
  <c r="E62" i="2"/>
  <c r="E31" i="2"/>
  <c r="G62" i="2"/>
  <c r="D14" i="13"/>
  <c r="C14" i="13" s="1"/>
  <c r="E13" i="13"/>
  <c r="C13" i="13" s="1"/>
  <c r="E78" i="2"/>
  <c r="L433" i="1"/>
  <c r="I169" i="1"/>
  <c r="H169" i="1"/>
  <c r="I476" i="1"/>
  <c r="H625" i="1" s="1"/>
  <c r="J625" i="1" s="1"/>
  <c r="G476" i="1"/>
  <c r="H623" i="1" s="1"/>
  <c r="J623" i="1" s="1"/>
  <c r="F169" i="1"/>
  <c r="J140" i="1"/>
  <c r="F571" i="1"/>
  <c r="K549" i="1"/>
  <c r="K545" i="1"/>
  <c r="C29" i="10"/>
  <c r="A13" i="12"/>
  <c r="F22" i="13"/>
  <c r="J545" i="1"/>
  <c r="H338" i="1"/>
  <c r="H352" i="1" s="1"/>
  <c r="G192" i="1"/>
  <c r="H192" i="1"/>
  <c r="C35" i="10"/>
  <c r="L309" i="1"/>
  <c r="J636" i="1"/>
  <c r="G36" i="2"/>
  <c r="C22" i="13"/>
  <c r="I545" i="1" l="1"/>
  <c r="L539" i="1"/>
  <c r="F552" i="1"/>
  <c r="D18" i="2"/>
  <c r="A31" i="12"/>
  <c r="C21" i="10"/>
  <c r="K605" i="1"/>
  <c r="G648" i="1" s="1"/>
  <c r="K598" i="1"/>
  <c r="G647" i="1" s="1"/>
  <c r="L570" i="1"/>
  <c r="I571" i="1"/>
  <c r="J552" i="1"/>
  <c r="H552" i="1"/>
  <c r="L534" i="1"/>
  <c r="K551" i="1"/>
  <c r="H545" i="1"/>
  <c r="G545" i="1"/>
  <c r="K503" i="1"/>
  <c r="G164" i="2"/>
  <c r="G161" i="2"/>
  <c r="F476" i="1"/>
  <c r="H622" i="1" s="1"/>
  <c r="J622" i="1" s="1"/>
  <c r="H476" i="1"/>
  <c r="H624" i="1" s="1"/>
  <c r="J624" i="1" s="1"/>
  <c r="H408" i="1"/>
  <c r="H644" i="1" s="1"/>
  <c r="L401" i="1"/>
  <c r="C139" i="2" s="1"/>
  <c r="H661" i="1"/>
  <c r="K338" i="1"/>
  <c r="K352" i="1" s="1"/>
  <c r="E120" i="2"/>
  <c r="L328" i="1"/>
  <c r="L338" i="1" s="1"/>
  <c r="L352" i="1" s="1"/>
  <c r="G633" i="1" s="1"/>
  <c r="J633" i="1" s="1"/>
  <c r="G338" i="1"/>
  <c r="G352" i="1" s="1"/>
  <c r="F338" i="1"/>
  <c r="F352" i="1" s="1"/>
  <c r="C142" i="2"/>
  <c r="C32" i="10"/>
  <c r="D15" i="13"/>
  <c r="C15" i="13" s="1"/>
  <c r="C124" i="2"/>
  <c r="D12" i="13"/>
  <c r="C12" i="13" s="1"/>
  <c r="C18" i="10"/>
  <c r="C121" i="2"/>
  <c r="E8" i="13"/>
  <c r="C8" i="13" s="1"/>
  <c r="C17" i="10"/>
  <c r="K257" i="1"/>
  <c r="K271" i="1" s="1"/>
  <c r="C16" i="10"/>
  <c r="C15" i="10"/>
  <c r="C13" i="10"/>
  <c r="C111" i="2"/>
  <c r="J257" i="1"/>
  <c r="J271" i="1" s="1"/>
  <c r="C12" i="10"/>
  <c r="L247" i="1"/>
  <c r="C110" i="2"/>
  <c r="C115" i="2" s="1"/>
  <c r="L229" i="1"/>
  <c r="G660" i="1" s="1"/>
  <c r="G257" i="1"/>
  <c r="G271" i="1" s="1"/>
  <c r="F257" i="1"/>
  <c r="F271" i="1" s="1"/>
  <c r="D5" i="13"/>
  <c r="C5" i="13" s="1"/>
  <c r="H257" i="1"/>
  <c r="H271" i="1" s="1"/>
  <c r="C10" i="10"/>
  <c r="J645" i="1"/>
  <c r="C91" i="2"/>
  <c r="D91" i="2"/>
  <c r="D81" i="2"/>
  <c r="C78" i="2"/>
  <c r="J644" i="1"/>
  <c r="F112" i="1"/>
  <c r="C36" i="10" s="1"/>
  <c r="C70" i="2"/>
  <c r="J640" i="1"/>
  <c r="J641" i="1"/>
  <c r="E128" i="2"/>
  <c r="C16" i="13"/>
  <c r="K550" i="1"/>
  <c r="K552" i="1" s="1"/>
  <c r="G552" i="1"/>
  <c r="H112" i="1"/>
  <c r="D29" i="13"/>
  <c r="C29" i="13" s="1"/>
  <c r="G651" i="1"/>
  <c r="J651" i="1" s="1"/>
  <c r="G624" i="1"/>
  <c r="K500" i="1"/>
  <c r="I460" i="1"/>
  <c r="I452" i="1"/>
  <c r="D145" i="2"/>
  <c r="C125" i="2"/>
  <c r="C119" i="2"/>
  <c r="E132" i="2"/>
  <c r="H662" i="1"/>
  <c r="I662" i="1" s="1"/>
  <c r="G661" i="1"/>
  <c r="L211" i="1"/>
  <c r="L362" i="1"/>
  <c r="E111" i="2"/>
  <c r="E115" i="2" s="1"/>
  <c r="C62" i="2"/>
  <c r="C63" i="2" s="1"/>
  <c r="F661" i="1"/>
  <c r="H25" i="13"/>
  <c r="E81" i="2"/>
  <c r="E63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J647" i="1" l="1"/>
  <c r="L545" i="1"/>
  <c r="L408" i="1"/>
  <c r="G637" i="1" s="1"/>
  <c r="J637" i="1" s="1"/>
  <c r="C141" i="2"/>
  <c r="C144" i="2" s="1"/>
  <c r="E145" i="2"/>
  <c r="H660" i="1"/>
  <c r="H664" i="1" s="1"/>
  <c r="H667" i="1" s="1"/>
  <c r="C128" i="2"/>
  <c r="E33" i="13"/>
  <c r="D35" i="13" s="1"/>
  <c r="H648" i="1"/>
  <c r="J648" i="1" s="1"/>
  <c r="L257" i="1"/>
  <c r="L271" i="1" s="1"/>
  <c r="G632" i="1" s="1"/>
  <c r="J632" i="1" s="1"/>
  <c r="C28" i="10"/>
  <c r="D19" i="10" s="1"/>
  <c r="C81" i="2"/>
  <c r="C104" i="2" s="1"/>
  <c r="G664" i="1"/>
  <c r="I661" i="1"/>
  <c r="F660" i="1"/>
  <c r="I461" i="1"/>
  <c r="H642" i="1" s="1"/>
  <c r="J642" i="1" s="1"/>
  <c r="D31" i="13"/>
  <c r="C31" i="13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H672" i="1"/>
  <c r="C6" i="10" s="1"/>
  <c r="D27" i="10"/>
  <c r="D13" i="10"/>
  <c r="D18" i="10"/>
  <c r="D21" i="10"/>
  <c r="D22" i="10"/>
  <c r="D11" i="10"/>
  <c r="D26" i="10"/>
  <c r="C30" i="10"/>
  <c r="D16" i="10"/>
  <c r="D23" i="10"/>
  <c r="D17" i="10"/>
  <c r="D12" i="10"/>
  <c r="D24" i="10"/>
  <c r="D10" i="10"/>
  <c r="D20" i="10"/>
  <c r="D15" i="10"/>
  <c r="D25" i="10"/>
  <c r="G672" i="1"/>
  <c r="C5" i="10" s="1"/>
  <c r="G667" i="1"/>
  <c r="D33" i="13"/>
  <c r="D36" i="13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<sst xmlns="http://schemas.openxmlformats.org/spreadsheetml/2006/main" count="3957" uniqueCount="915">
  <si>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</si>
  <si>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</si>
  <si>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</si>
  <si>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</si>
  <si>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</si>
  <si>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</si>
  <si>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</si>
  <si>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</si>
  <si>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</si>
  <si>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</si>
  <si>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</si>
  <si>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</si>
  <si>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</si>
  <si>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</si>
  <si>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</si>
  <si>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</si>
  <si>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</si>
  <si>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</si>
  <si>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</si>
  <si>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</si>
  <si>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</si>
  <si>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</si>
  <si>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</si>
  <si>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</si>
  <si>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</si>
  <si>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</si>
  <si>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</si>
  <si>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</si>
  <si>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</si>
  <si>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</si>
  <si>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</si>
  <si>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</si>
  <si>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</si>
  <si>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</si>
  <si>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</si>
  <si>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</si>
  <si>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</si>
  <si>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</si>
  <si>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</si>
  <si>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</si>
  <si>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</si>
  <si>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</si>
  <si>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</si>
  <si>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</si>
  <si>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</si>
  <si>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</si>
  <si>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</si>
  <si>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</si>
  <si>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</si>
  <si>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</si>
  <si>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</si>
  <si>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</si>
  <si>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</si>
  <si>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</si>
  <si>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</si>
  <si>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</si>
  <si>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</si>
  <si>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</si>
  <si>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</si>
  <si>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</si>
  <si>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</si>
  <si>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</si>
  <si>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</si>
  <si>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</si>
  <si>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</si>
  <si>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</si>
  <si>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</si>
  <si>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</si>
  <si>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</si>
  <si>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</si>
  <si>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</si>
  <si>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</si>
  <si>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</si>
  <si>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</si>
  <si>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</si>
  <si>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</si>
  <si>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</si>
  <si>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</si>
  <si>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</si>
  <si>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</si>
  <si>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</si>
  <si>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</si>
  <si>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</si>
  <si>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</si>
  <si>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</si>
  <si>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</si>
  <si>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</si>
  <si>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</si>
  <si>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</si>
  <si>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</si>
  <si>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</si>
  <si>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</si>
  <si>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</si>
  <si>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</si>
  <si>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</si>
  <si>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</si>
  <si>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</si>
  <si>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</si>
  <si>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</si>
  <si>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</si>
  <si>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</si>
  <si>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</si>
  <si>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</si>
  <si>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</si>
  <si>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</si>
  <si>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</si>
  <si>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</si>
  <si>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</si>
  <si>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</si>
  <si>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</si>
  <si>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</si>
  <si>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</si>
  <si>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</si>
  <si>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</si>
  <si>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</si>
  <si>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</si>
  <si>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</si>
  <si>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</si>
  <si>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</si>
  <si>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</si>
  <si>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</si>
  <si>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</si>
  <si>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</si>
  <si>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</si>
  <si>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</si>
  <si>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</si>
  <si>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</si>
  <si>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</si>
  <si>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</si>
  <si>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</si>
  <si>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</si>
  <si>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</si>
  <si>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</si>
  <si>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</si>
  <si>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</si>
  <si>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</si>
  <si>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</si>
  <si>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</si>
  <si>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</si>
  <si>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</si>
  <si>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</si>
  <si>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</si>
  <si>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</si>
  <si>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</si>
  <si>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</si>
  <si>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</si>
  <si>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</si>
  <si>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</si>
  <si>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</si>
  <si>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</si>
  <si>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</si>
  <si>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</si>
  <si>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</si>
  <si>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</si>
  <si>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</si>
  <si>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</si>
  <si>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</si>
  <si>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</si>
  <si>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</si>
  <si>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</si>
  <si>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</si>
  <si>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</si>
  <si>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</si>
  <si>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</si>
  <si>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</si>
  <si>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</si>
  <si>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</si>
  <si>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</si>
  <si>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</si>
  <si>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</si>
  <si>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</si>
  <si>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</si>
  <si>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</si>
  <si>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</si>
  <si>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</si>
  <si>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</si>
  <si>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</si>
  <si>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</si>
  <si>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</si>
  <si>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</si>
  <si>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</si>
  <si>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</si>
  <si>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</si>
  <si>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</si>
  <si>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</si>
  <si>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</si>
  <si>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</si>
  <si>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</si>
  <si>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</si>
  <si>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</si>
  <si>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</si>
  <si>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</si>
  <si>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</si>
  <si>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</si>
  <si>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</si>
  <si>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</si>
  <si>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</si>
  <si>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</si>
  <si>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</si>
  <si>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</si>
  <si>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</si>
  <si>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</si>
  <si>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</si>
  <si>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</si>
  <si>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</si>
  <si>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</si>
  <si>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</si>
  <si>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</si>
  <si>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</si>
  <si>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</si>
  <si>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</si>
  <si>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</si>
  <si>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</si>
  <si>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</si>
  <si>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</si>
  <si>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</si>
  <si>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</si>
  <si>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</si>
  <si>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</si>
  <si>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</si>
  <si>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</si>
  <si>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</si>
  <si>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</si>
  <si>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</si>
  <si>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</si>
  <si>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</si>
  <si>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</si>
  <si>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</si>
  <si>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</si>
  <si>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</si>
  <si>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</si>
  <si>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</si>
  <si>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</si>
  <si>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</si>
  <si>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</si>
  <si>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</si>
  <si>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</si>
  <si>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</si>
  <si>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</si>
  <si>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</si>
  <si>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</si>
  <si>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</si>
  <si>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</si>
  <si>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</si>
  <si>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</si>
  <si>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</si>
  <si>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</si>
  <si>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</si>
  <si>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</si>
  <si>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</si>
  <si>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</si>
  <si>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</si>
  <si>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</si>
  <si>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</si>
  <si>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</si>
  <si>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</si>
  <si>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</si>
  <si>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</si>
  <si>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</si>
  <si>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</si>
  <si>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</si>
  <si>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</si>
  <si>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</si>
  <si>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</si>
  <si>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</si>
  <si>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</si>
  <si>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</si>
  <si>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</si>
  <si>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</si>
  <si>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</si>
  <si>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</si>
  <si>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</si>
  <si>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</si>
  <si>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</si>
  <si>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</si>
  <si>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</si>
  <si>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</si>
  <si>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</si>
  <si>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</si>
  <si>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</si>
  <si>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</si>
  <si>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</si>
  <si>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</si>
  <si>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</si>
  <si>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</si>
  <si>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</si>
  <si>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</si>
  <si>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</si>
  <si>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</si>
  <si>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</si>
  <si>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</si>
  <si>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</si>
  <si>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</si>
  <si>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</si>
  <si>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</si>
  <si>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</si>
  <si>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</si>
  <si>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</si>
  <si>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</si>
  <si>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</si>
  <si>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</si>
  <si>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</si>
  <si>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</si>
  <si>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</si>
  <si>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</si>
  <si>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</si>
  <si>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</si>
  <si>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</si>
  <si>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</si>
  <si>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</si>
  <si>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</si>
  <si>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</si>
  <si>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</si>
  <si>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</si>
  <si>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</si>
  <si>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</si>
  <si>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</si>
  <si>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</si>
  <si>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</si>
  <si>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</si>
  <si>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</si>
  <si>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</si>
  <si>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</si>
  <si>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</si>
  <si>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</si>
  <si>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</si>
  <si>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</si>
  <si>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</si>
  <si>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</si>
  <si>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</si>
  <si>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</si>
  <si>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</si>
  <si>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</si>
  <si>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</si>
  <si>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</si>
  <si>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</si>
  <si>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</si>
  <si>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</si>
  <si>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</si>
  <si>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</si>
  <si>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</si>
  <si>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</si>
  <si>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</si>
  <si>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</si>
  <si>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</si>
  <si>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</si>
  <si>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</si>
  <si>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</si>
  <si>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</si>
  <si>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</si>
  <si>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</si>
  <si>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</si>
  <si>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</si>
  <si>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</si>
  <si>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</si>
  <si>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</si>
  <si>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</si>
  <si>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</si>
  <si>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</si>
  <si>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</si>
  <si>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</si>
  <si>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</si>
  <si>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</si>
  <si>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</si>
  <si>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</si>
  <si>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</si>
  <si>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</si>
  <si>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</si>
  <si>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</si>
  <si>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</si>
  <si>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</si>
  <si>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</si>
  <si>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</si>
  <si>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</si>
  <si>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</si>
  <si>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</si>
  <si>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</si>
  <si>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</si>
  <si>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</si>
  <si>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</si>
  <si>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</si>
  <si>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</si>
  <si>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</si>
  <si>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</si>
  <si>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</si>
  <si>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</si>
  <si>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</si>
  <si>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</si>
  <si>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</si>
  <si>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</si>
  <si>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</si>
  <si>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</si>
  <si>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</si>
  <si>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</si>
  <si>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</si>
  <si>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</si>
  <si>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</si>
  <si>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</si>
  <si>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</si>
  <si>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</si>
  <si>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</si>
  <si>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</si>
  <si>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</si>
  <si>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</si>
  <si>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</si>
  <si>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</si>
  <si>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</si>
  <si>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</si>
  <si>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</si>
  <si>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</si>
  <si>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</si>
  <si>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</si>
  <si>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</si>
  <si>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</si>
  <si>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</si>
  <si>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</si>
  <si>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</si>
  <si>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</si>
  <si>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</si>
  <si>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</si>
  <si>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</si>
  <si>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</si>
  <si>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</si>
  <si>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</si>
  <si>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</si>
  <si>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</si>
  <si>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</si>
  <si>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</si>
  <si>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</si>
  <si>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</si>
  <si>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</si>
  <si>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</si>
  <si>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</si>
  <si>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</si>
  <si>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</si>
  <si>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</si>
  <si>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</si>
  <si>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</si>
  <si>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</si>
  <si>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</si>
  <si>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</si>
  <si>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</si>
  <si>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</si>
  <si>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</si>
  <si>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</si>
  <si>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</si>
  <si>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</si>
  <si>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</si>
  <si>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</si>
  <si>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</si>
  <si>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</si>
  <si>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</si>
  <si>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</si>
  <si>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</si>
  <si>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</si>
  <si>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</si>
  <si>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</si>
  <si>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</si>
  <si>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</si>
  <si>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</si>
  <si>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</si>
  <si>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</si>
  <si>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</si>
  <si>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</si>
  <si>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</si>
  <si>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</si>
  <si>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</si>
  <si>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</si>
  <si>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</si>
  <si>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</si>
  <si>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</si>
  <si>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</si>
  <si>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</si>
  <si>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</si>
  <si>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</si>
  <si>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</si>
  <si>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</si>
  <si>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</si>
  <si>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</si>
  <si>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</si>
  <si>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</si>
  <si>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</si>
  <si>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</si>
  <si>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</si>
  <si>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</si>
  <si>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</si>
  <si>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</si>
  <si>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</si>
  <si>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</si>
  <si>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</si>
  <si>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</si>
  <si>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</si>
  <si>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</si>
  <si>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</si>
  <si>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</si>
  <si>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</si>
  <si>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</si>
  <si>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</si>
  <si>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</si>
  <si>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</si>
  <si>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</si>
  <si>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</si>
  <si>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</si>
  <si>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</si>
  <si>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</si>
  <si>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</si>
  <si>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</si>
  <si>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</si>
  <si>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</si>
  <si>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</si>
  <si>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</si>
  <si>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</si>
  <si>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</si>
  <si>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</si>
  <si>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</si>
  <si>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</si>
  <si>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</si>
  <si>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</si>
  <si>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</si>
  <si>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</si>
  <si>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</si>
  <si>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</si>
  <si>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</si>
  <si>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</si>
  <si>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</si>
  <si>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</si>
  <si>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</si>
  <si>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</si>
  <si>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</si>
  <si>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</si>
  <si>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</si>
  <si>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</si>
  <si>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</si>
  <si>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</si>
  <si>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</si>
  <si>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</si>
  <si>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</si>
  <si>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</si>
  <si>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</si>
  <si>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</si>
  <si>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</si>
  <si>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</si>
  <si>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</si>
  <si>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</si>
  <si>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</si>
  <si>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</si>
  <si>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</si>
  <si>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</si>
  <si>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</si>
  <si>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</si>
  <si>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</si>
  <si>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</si>
  <si>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</si>
  <si>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</si>
  <si>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</si>
  <si>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</si>
  <si>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</si>
  <si>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</si>
  <si>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</si>
  <si>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</si>
  <si>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</si>
  <si>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</si>
  <si>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</si>
  <si>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</si>
  <si>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</si>
  <si>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</si>
  <si>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</si>
  <si>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</si>
  <si>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</si>
  <si>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</si>
  <si>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</si>
  <si>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</si>
  <si>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</si>
  <si>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</si>
  <si>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</si>
  <si>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</si>
  <si>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</si>
  <si>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</si>
  <si>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</si>
  <si>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</si>
  <si>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</si>
  <si>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</si>
  <si>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</si>
  <si>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</si>
  <si>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</si>
  <si>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</si>
  <si>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</si>
  <si>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</si>
  <si>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</si>
  <si>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</si>
  <si>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</si>
  <si>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</si>
  <si>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</si>
  <si>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</si>
  <si>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</si>
  <si>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</si>
  <si>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</si>
  <si>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</si>
  <si>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</si>
  <si>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</si>
  <si>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</si>
  <si>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</si>
  <si>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</si>
  <si>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</si>
  <si>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</si>
  <si>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</si>
  <si>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</si>
  <si>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</si>
  <si>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</si>
  <si>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</si>
  <si>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</si>
  <si>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</si>
  <si>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</si>
  <si>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</si>
  <si>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</si>
  <si>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</si>
  <si>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</si>
  <si>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</si>
  <si>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</si>
  <si>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</si>
  <si>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</si>
  <si>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</si>
  <si>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</si>
  <si>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</si>
  <si>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</si>
  <si>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</si>
  <si>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</si>
  <si>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</si>
  <si>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</si>
  <si>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</si>
  <si>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</si>
  <si>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</si>
  <si>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</si>
  <si>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</si>
  <si>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</si>
  <si>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</si>
  <si>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</si>
  <si>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</si>
  <si>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</si>
  <si>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</si>
  <si>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</si>
  <si>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</si>
  <si>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</si>
  <si>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</si>
  <si>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</si>
  <si>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</si>
  <si>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</si>
  <si>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</si>
  <si>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</si>
  <si>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</si>
  <si>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</si>
  <si>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</si>
  <si>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</si>
  <si>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</si>
  <si>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</si>
  <si>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</si>
  <si>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</si>
  <si>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</si>
  <si>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</si>
  <si>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</si>
  <si>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</si>
  <si>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</si>
  <si>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</si>
  <si>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</si>
  <si>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</si>
  <si>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</si>
  <si>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</si>
  <si>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</si>
  <si>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</si>
  <si>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</si>
  <si>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</si>
  <si>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</si>
  <si>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</si>
  <si>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</si>
  <si>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</si>
  <si>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</si>
  <si>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</si>
  <si>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</si>
  <si>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</si>
  <si>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</si>
  <si>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</si>
  <si>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</si>
  <si>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</si>
  <si>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</si>
  <si>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</si>
  <si>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</si>
  <si>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</si>
  <si>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</si>
  <si>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</si>
  <si>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</si>
  <si>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</si>
  <si>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</si>
  <si>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</si>
  <si>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</si>
  <si>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</si>
  <si>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</si>
  <si>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</si>
  <si>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</si>
  <si>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</si>
  <si>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</si>
  <si>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</si>
  <si>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</si>
  <si>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</si>
  <si>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</si>
  <si>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</si>
  <si>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</si>
  <si>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</si>
  <si>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</si>
  <si>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</si>
  <si>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</si>
  <si>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</si>
  <si>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</si>
  <si>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</si>
  <si>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</si>
  <si>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</si>
  <si>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</si>
  <si>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</si>
  <si>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</si>
  <si>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</si>
  <si>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</si>
  <si>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</si>
  <si>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</si>
  <si>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</si>
  <si>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</si>
  <si>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</si>
  <si>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</si>
  <si>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</si>
  <si>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</si>
  <si>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</si>
  <si>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</si>
  <si>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</si>
  <si>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</si>
  <si>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</si>
  <si>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</si>
  <si>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</si>
  <si>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</si>
  <si>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</si>
  <si>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</si>
  <si>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</si>
  <si>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</si>
  <si>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</si>
  <si>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</si>
  <si>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</si>
  <si>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</si>
  <si>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</si>
  <si>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</si>
  <si>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</si>
  <si>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</si>
  <si>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</si>
  <si>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</si>
  <si>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</si>
  <si>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</si>
  <si>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</si>
  <si>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</si>
  <si>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</si>
  <si>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</si>
  <si>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</si>
  <si>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</si>
  <si>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</si>
  <si>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</si>
  <si>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</si>
  <si>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</si>
  <si>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</si>
  <si>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</si>
  <si>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</si>
  <si>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</si>
  <si>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</si>
  <si>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</si>
  <si>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</si>
  <si>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</si>
  <si>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</si>
  <si>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</si>
  <si>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</si>
  <si>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</si>
  <si>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</si>
  <si>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</si>
  <si>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</si>
  <si>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</si>
  <si>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</si>
  <si>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</si>
  <si>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</si>
  <si>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</si>
  <si>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</si>
  <si>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</si>
  <si>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</si>
  <si>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</si>
  <si>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</si>
  <si>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</si>
  <si>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</si>
  <si>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</si>
  <si>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</si>
  <si>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</si>
  <si>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</si>
  <si>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</si>
  <si>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</si>
  <si>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</si>
  <si>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</si>
  <si>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</si>
  <si>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</si>
  <si>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</si>
  <si>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</si>
  <si>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</si>
  <si>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</si>
  <si>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</si>
  <si>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</si>
  <si>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</si>
  <si>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</si>
  <si>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</si>
  <si>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</si>
  <si>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</si>
  <si>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</si>
  <si>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</si>
  <si>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</si>
  <si>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</si>
  <si>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</si>
  <si>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</si>
  <si>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</si>
  <si>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</si>
  <si>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</si>
  <si>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</si>
  <si>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</si>
  <si>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</si>
  <si>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</si>
  <si>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</si>
  <si>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</si>
  <si>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</si>
  <si>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</si>
  <si>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</si>
  <si>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</si>
  <si>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</si>
  <si>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</si>
  <si>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</si>
  <si>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</si>
  <si>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</si>
  <si>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</si>
  <si>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</si>
  <si>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</si>
  <si>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</si>
  <si>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</si>
  <si>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</si>
  <si>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</si>
  <si>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</si>
  <si>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</si>
  <si>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</si>
  <si>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</si>
  <si>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</si>
  <si>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</si>
  <si>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</si>
  <si>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</si>
  <si>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</si>
  <si>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</si>
  <si>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</si>
  <si>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</si>
  <si>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</si>
  <si>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</si>
  <si>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</si>
  <si>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</si>
  <si>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</si>
  <si>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</si>
  <si>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</si>
  <si>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</si>
  <si>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</si>
  <si>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</si>
  <si>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</si>
  <si>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</si>
  <si>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</si>
  <si>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</si>
  <si>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</si>
  <si>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</si>
  <si>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</si>
  <si>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</si>
  <si>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</si>
  <si>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</si>
  <si>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</si>
  <si>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</si>
  <si>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</si>
  <si>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</si>
  <si>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</si>
  <si>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</si>
  <si>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</si>
  <si>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</si>
  <si>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</si>
  <si>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</si>
  <si>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</si>
  <si>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</si>
  <si>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</si>
  <si>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</si>
  <si>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</si>
  <si>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</si>
  <si>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</si>
  <si>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</si>
  <si>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</si>
  <si>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</si>
  <si>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</si>
  <si>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</si>
  <si>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</si>
  <si>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</si>
  <si>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</si>
  <si>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</si>
  <si>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</si>
  <si>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</si>
  <si>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</si>
  <si>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</si>
  <si>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</si>
  <si>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</si>
  <si>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</si>
  <si>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</si>
  <si>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</si>
  <si>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</si>
  <si>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</si>
  <si>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</si>
  <si>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</si>
  <si>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PROFILE SCHOOL DISTRICT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</si>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</sst>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5" zoomScaleNormal="12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450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374332.99</v>
      </c>
      <c r="G9" s="18"/>
      <c r="H9" s="18"/>
      <c r="I9" s="18"/>
      <c r="J9" s="67">
        <f>SUM(I439)</f>
        <v>461426.47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20635.599999999999</v>
      </c>
      <c r="G12" s="18">
        <v>-10418.94</v>
      </c>
      <c r="H12" s="18">
        <v>-10216.66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14194.06</v>
      </c>
      <c r="G13" s="18">
        <v>1464.69</v>
      </c>
      <c r="H13" s="18">
        <v>10716.66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5958.28</v>
      </c>
      <c r="G14" s="18">
        <v>8954.25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415120.93</v>
      </c>
      <c r="G19" s="41">
        <f>SUM(G9:G18)</f>
        <v>0</v>
      </c>
      <c r="H19" s="41">
        <f>SUM(H9:H18)</f>
        <v>500</v>
      </c>
      <c r="I19" s="41">
        <f>SUM(I9:I18)</f>
        <v>0</v>
      </c>
      <c r="J19" s="41">
        <f>SUM(J9:J18)</f>
        <v>461426.47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33827.379999999997</v>
      </c>
      <c r="G24" s="18"/>
      <c r="H24" s="18">
        <v>500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33827.379999999997</v>
      </c>
      <c r="G32" s="41">
        <f>SUM(G22:G31)</f>
        <v>0</v>
      </c>
      <c r="H32" s="41">
        <f>SUM(H22:H31)</f>
        <v>500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461426.47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381293.55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381293.55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461426.47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415120.93</v>
      </c>
      <c r="G52" s="41">
        <f>G51+G32</f>
        <v>0</v>
      </c>
      <c r="H52" s="41">
        <f>H51+H32</f>
        <v>500</v>
      </c>
      <c r="I52" s="41">
        <f>I51+I32</f>
        <v>0</v>
      </c>
      <c r="J52" s="41">
        <f>J51+J32</f>
        <v>461426.47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4119203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4119203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936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16066.59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88497.55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105500.14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261.01</v>
      </c>
      <c r="G96" s="18"/>
      <c r="H96" s="18"/>
      <c r="I96" s="18"/>
      <c r="J96" s="18">
        <v>10466.92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53363.91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20603.7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20864.71</v>
      </c>
      <c r="G111" s="41">
        <f>SUM(G96:G110)</f>
        <v>53363.91</v>
      </c>
      <c r="H111" s="41">
        <f>SUM(H96:H110)</f>
        <v>0</v>
      </c>
      <c r="I111" s="41">
        <f>SUM(I96:I110)</f>
        <v>0</v>
      </c>
      <c r="J111" s="41">
        <f>SUM(J96:J110)</f>
        <v>10466.92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4245567.8499999996</v>
      </c>
      <c r="G112" s="41">
        <f>G60+G111</f>
        <v>53363.91</v>
      </c>
      <c r="H112" s="41">
        <f>H60+H79+H94+H111</f>
        <v>0</v>
      </c>
      <c r="I112" s="41">
        <f>I60+I111</f>
        <v>0</v>
      </c>
      <c r="J112" s="41">
        <f>J60+J111</f>
        <v>10466.92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609642.84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745991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1355633.8399999999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379536.36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5430.6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1077.29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18605</v>
      </c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403571.95999999996</v>
      </c>
      <c r="G136" s="41">
        <f>SUM(G123:G135)</f>
        <v>1077.29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1759205.7999999998</v>
      </c>
      <c r="G140" s="41">
        <f>G121+SUM(G136:G137)</f>
        <v>1077.29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45775.89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65522.67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25799.89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26183.39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26183.39</v>
      </c>
      <c r="G162" s="41">
        <f>SUM(G150:G161)</f>
        <v>25799.89</v>
      </c>
      <c r="H162" s="41">
        <f>SUM(H150:H161)</f>
        <v>111298.56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460.54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26643.93</v>
      </c>
      <c r="G169" s="41">
        <f>G147+G162+SUM(G163:G168)</f>
        <v>25799.89</v>
      </c>
      <c r="H169" s="41">
        <f>H147+H162+SUM(H163:H168)</f>
        <v>111298.56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15902.51</v>
      </c>
      <c r="H179" s="18"/>
      <c r="I179" s="18"/>
      <c r="J179" s="18">
        <v>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15902.51</v>
      </c>
      <c r="H183" s="41">
        <f>SUM(H179:H182)</f>
        <v>0</v>
      </c>
      <c r="I183" s="41">
        <f>SUM(I179:I182)</f>
        <v>0</v>
      </c>
      <c r="J183" s="41">
        <f>SUM(J179:J182)</f>
        <v>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15902.51</v>
      </c>
      <c r="H192" s="41">
        <f>+H183+SUM(H188:H191)</f>
        <v>0</v>
      </c>
      <c r="I192" s="41">
        <f>I177+I183+SUM(I188:I191)</f>
        <v>0</v>
      </c>
      <c r="J192" s="41">
        <f>J183</f>
        <v>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6031417.5799999991</v>
      </c>
      <c r="G193" s="47">
        <f>G112+G140+G169+G192</f>
        <v>96143.599999999991</v>
      </c>
      <c r="H193" s="47">
        <f>H112+H140+H169+H192</f>
        <v>111298.56</v>
      </c>
      <c r="I193" s="47">
        <f>I112+I140+I169+I192</f>
        <v>0</v>
      </c>
      <c r="J193" s="47">
        <f>J112+J140+J192</f>
        <v>15466.92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434260.43</v>
      </c>
      <c r="G215" s="18">
        <v>184117.12</v>
      </c>
      <c r="H215" s="18">
        <v>910.89</v>
      </c>
      <c r="I215" s="18">
        <v>19054.900000000001</v>
      </c>
      <c r="J215" s="18">
        <v>17155.439999999999</v>
      </c>
      <c r="K215" s="18"/>
      <c r="L215" s="19">
        <f>SUM(F215:K215)</f>
        <v>655498.78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133299.84</v>
      </c>
      <c r="G216" s="18">
        <v>99096.24</v>
      </c>
      <c r="H216" s="18">
        <v>45758.67</v>
      </c>
      <c r="I216" s="18">
        <v>2347.9899999999998</v>
      </c>
      <c r="J216" s="18"/>
      <c r="K216" s="18"/>
      <c r="L216" s="19">
        <f>SUM(F216:K216)</f>
        <v>280502.74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40229.14</v>
      </c>
      <c r="G217" s="18">
        <v>21999.72</v>
      </c>
      <c r="H217" s="18">
        <v>69.58</v>
      </c>
      <c r="I217" s="18">
        <v>2972.04</v>
      </c>
      <c r="J217" s="18">
        <v>568.34</v>
      </c>
      <c r="K217" s="18"/>
      <c r="L217" s="19">
        <f>SUM(F217:K217)</f>
        <v>65838.820000000007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27310.46</v>
      </c>
      <c r="G218" s="18">
        <v>7370.11</v>
      </c>
      <c r="H218" s="18">
        <v>8538.01</v>
      </c>
      <c r="I218" s="18">
        <v>2113.35</v>
      </c>
      <c r="J218" s="18">
        <v>1799.15</v>
      </c>
      <c r="K218" s="18">
        <v>3742.8</v>
      </c>
      <c r="L218" s="19">
        <f>SUM(F218:K218)</f>
        <v>50873.880000000005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42606.27</v>
      </c>
      <c r="G220" s="18">
        <v>15465.74</v>
      </c>
      <c r="H220" s="18">
        <v>20442.14</v>
      </c>
      <c r="I220" s="18">
        <v>886.51</v>
      </c>
      <c r="J220" s="18"/>
      <c r="K220" s="18"/>
      <c r="L220" s="19">
        <f t="shared" ref="L220:L226" si="2">SUM(F220:K220)</f>
        <v>79400.659999999989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45265.13</v>
      </c>
      <c r="G221" s="18">
        <v>20798.32</v>
      </c>
      <c r="H221" s="18"/>
      <c r="I221" s="18">
        <v>2783.45</v>
      </c>
      <c r="J221" s="18"/>
      <c r="K221" s="18">
        <v>5981.33</v>
      </c>
      <c r="L221" s="19">
        <f t="shared" si="2"/>
        <v>74828.23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3080</v>
      </c>
      <c r="G222" s="18">
        <v>278.54000000000002</v>
      </c>
      <c r="H222" s="18">
        <v>103149.64</v>
      </c>
      <c r="I222" s="18"/>
      <c r="J222" s="18"/>
      <c r="K222" s="18">
        <v>3393.35</v>
      </c>
      <c r="L222" s="19">
        <f t="shared" si="2"/>
        <v>109901.53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82795.490000000005</v>
      </c>
      <c r="G223" s="18">
        <v>46127.38</v>
      </c>
      <c r="H223" s="18">
        <v>18116.12</v>
      </c>
      <c r="I223" s="18">
        <v>3282.36</v>
      </c>
      <c r="J223" s="18">
        <v>98</v>
      </c>
      <c r="K223" s="18">
        <v>1733.6</v>
      </c>
      <c r="L223" s="19">
        <f t="shared" si="2"/>
        <v>152152.94999999998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38312.47</v>
      </c>
      <c r="G225" s="18">
        <v>14005.04</v>
      </c>
      <c r="H225" s="18">
        <v>69857.22</v>
      </c>
      <c r="I225" s="18">
        <v>47857.54</v>
      </c>
      <c r="J225" s="18">
        <v>1199.7</v>
      </c>
      <c r="K225" s="18"/>
      <c r="L225" s="19">
        <f t="shared" si="2"/>
        <v>171231.97000000003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3095</v>
      </c>
      <c r="G226" s="18">
        <v>578.83000000000004</v>
      </c>
      <c r="H226" s="18">
        <v>43051.46</v>
      </c>
      <c r="I226" s="18"/>
      <c r="J226" s="18"/>
      <c r="K226" s="18"/>
      <c r="L226" s="19">
        <f t="shared" si="2"/>
        <v>46725.29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850254.23</v>
      </c>
      <c r="G229" s="41">
        <f>SUM(G215:G228)</f>
        <v>409837.03999999992</v>
      </c>
      <c r="H229" s="41">
        <f>SUM(H215:H228)</f>
        <v>309893.73000000004</v>
      </c>
      <c r="I229" s="41">
        <f>SUM(I215:I228)</f>
        <v>81298.14</v>
      </c>
      <c r="J229" s="41">
        <f>SUM(J215:J228)</f>
        <v>20820.63</v>
      </c>
      <c r="K229" s="41">
        <f t="shared" si="3"/>
        <v>14851.080000000002</v>
      </c>
      <c r="L229" s="41">
        <f t="shared" si="3"/>
        <v>1686954.85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882060.77</v>
      </c>
      <c r="G233" s="18">
        <v>430918.82</v>
      </c>
      <c r="H233" s="18">
        <v>12647.24</v>
      </c>
      <c r="I233" s="18">
        <v>31974.98</v>
      </c>
      <c r="J233" s="18">
        <v>32144.44</v>
      </c>
      <c r="K233" s="18"/>
      <c r="L233" s="19">
        <f>SUM(F233:K233)</f>
        <v>1389746.25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215029.24</v>
      </c>
      <c r="G234" s="18">
        <v>170107.42</v>
      </c>
      <c r="H234" s="18">
        <v>63891.13</v>
      </c>
      <c r="I234" s="18">
        <v>4360.46</v>
      </c>
      <c r="J234" s="18">
        <v>0</v>
      </c>
      <c r="K234" s="18"/>
      <c r="L234" s="19">
        <f>SUM(F234:K234)</f>
        <v>453388.25000000006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74710.86</v>
      </c>
      <c r="G235" s="18">
        <v>40857.440000000002</v>
      </c>
      <c r="H235" s="18">
        <v>41402.589999999997</v>
      </c>
      <c r="I235" s="18">
        <v>5519.49</v>
      </c>
      <c r="J235" s="18">
        <v>1055.51</v>
      </c>
      <c r="K235" s="18"/>
      <c r="L235" s="19">
        <f>SUM(F235:K235)</f>
        <v>163545.89000000001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63169.29</v>
      </c>
      <c r="G236" s="18">
        <v>14417.54</v>
      </c>
      <c r="H236" s="18">
        <v>15728.8</v>
      </c>
      <c r="I236" s="18">
        <v>3924.71</v>
      </c>
      <c r="J236" s="18">
        <v>3341.25</v>
      </c>
      <c r="K236" s="18">
        <v>6857.83</v>
      </c>
      <c r="L236" s="19">
        <f>SUM(F236:K236)</f>
        <v>107439.42000000001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93012.12</v>
      </c>
      <c r="G238" s="18">
        <v>28429.27</v>
      </c>
      <c r="H238" s="18">
        <v>43153.9</v>
      </c>
      <c r="I238" s="18">
        <v>1578.96</v>
      </c>
      <c r="J238" s="18"/>
      <c r="K238" s="18"/>
      <c r="L238" s="19">
        <f t="shared" ref="L238:L244" si="4">SUM(F238:K238)</f>
        <v>166174.25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83624.81</v>
      </c>
      <c r="G239" s="18">
        <v>38593.550000000003</v>
      </c>
      <c r="H239" s="18">
        <v>-344</v>
      </c>
      <c r="I239" s="18">
        <v>5169.1400000000003</v>
      </c>
      <c r="J239" s="18">
        <v>-282</v>
      </c>
      <c r="K239" s="18">
        <v>8093.97</v>
      </c>
      <c r="L239" s="19">
        <f t="shared" si="4"/>
        <v>134855.47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5720</v>
      </c>
      <c r="G240" s="18">
        <v>517.29999999999995</v>
      </c>
      <c r="H240" s="18">
        <v>191563.63</v>
      </c>
      <c r="I240" s="18"/>
      <c r="J240" s="18"/>
      <c r="K240" s="18">
        <v>6301.93</v>
      </c>
      <c r="L240" s="19">
        <f t="shared" si="4"/>
        <v>204102.86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152593.07999999999</v>
      </c>
      <c r="G241" s="18">
        <v>58492.62</v>
      </c>
      <c r="H241" s="18">
        <v>27156.14</v>
      </c>
      <c r="I241" s="18">
        <v>6095.58</v>
      </c>
      <c r="J241" s="18">
        <v>181.99</v>
      </c>
      <c r="K241" s="18">
        <v>3160.45</v>
      </c>
      <c r="L241" s="19">
        <f t="shared" si="4"/>
        <v>247679.85999999996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77922.06</v>
      </c>
      <c r="G243" s="18">
        <v>26782.23</v>
      </c>
      <c r="H243" s="18">
        <v>111163.54</v>
      </c>
      <c r="I243" s="18">
        <v>88878.36</v>
      </c>
      <c r="J243" s="18">
        <v>2228</v>
      </c>
      <c r="K243" s="18"/>
      <c r="L243" s="19">
        <f t="shared" si="4"/>
        <v>306974.19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470</v>
      </c>
      <c r="G244" s="18">
        <v>83.52</v>
      </c>
      <c r="H244" s="18">
        <v>86437.86</v>
      </c>
      <c r="I244" s="18">
        <v>1881</v>
      </c>
      <c r="J244" s="18"/>
      <c r="K244" s="18"/>
      <c r="L244" s="19">
        <f t="shared" si="4"/>
        <v>88872.38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1648312.2300000004</v>
      </c>
      <c r="G247" s="41">
        <f t="shared" si="5"/>
        <v>809199.71000000008</v>
      </c>
      <c r="H247" s="41">
        <f t="shared" si="5"/>
        <v>592800.82999999996</v>
      </c>
      <c r="I247" s="41">
        <f t="shared" si="5"/>
        <v>149382.68</v>
      </c>
      <c r="J247" s="41">
        <f t="shared" si="5"/>
        <v>38669.189999999995</v>
      </c>
      <c r="K247" s="41">
        <f t="shared" si="5"/>
        <v>24414.18</v>
      </c>
      <c r="L247" s="41">
        <f t="shared" si="5"/>
        <v>3262778.82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2498566.4600000004</v>
      </c>
      <c r="G257" s="41">
        <f t="shared" si="8"/>
        <v>1219036.75</v>
      </c>
      <c r="H257" s="41">
        <f t="shared" si="8"/>
        <v>902694.56</v>
      </c>
      <c r="I257" s="41">
        <f t="shared" si="8"/>
        <v>230680.82</v>
      </c>
      <c r="J257" s="41">
        <f t="shared" si="8"/>
        <v>59489.819999999992</v>
      </c>
      <c r="K257" s="41">
        <f t="shared" si="8"/>
        <v>39265.26</v>
      </c>
      <c r="L257" s="41">
        <f t="shared" si="8"/>
        <v>4949733.67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300981.26</v>
      </c>
      <c r="L261" s="19">
        <f>SUM(F261:K261)</f>
        <v>300981.26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15902.51</v>
      </c>
      <c r="L263" s="19">
        <f>SUM(F263:K263)</f>
        <v>15902.51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</v>
      </c>
      <c r="L266" s="19">
        <f t="shared" si="9"/>
        <v>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24511</v>
      </c>
      <c r="L268" s="19">
        <f t="shared" si="9"/>
        <v>24511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996394.77</v>
      </c>
      <c r="L270" s="41">
        <f t="shared" si="9"/>
        <v>996394.77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2498566.4600000004</v>
      </c>
      <c r="G271" s="42">
        <f t="shared" si="11"/>
        <v>1219036.75</v>
      </c>
      <c r="H271" s="42">
        <f t="shared" si="11"/>
        <v>902694.56</v>
      </c>
      <c r="I271" s="42">
        <f t="shared" si="11"/>
        <v>230680.82</v>
      </c>
      <c r="J271" s="42">
        <f t="shared" si="11"/>
        <v>59489.819999999992</v>
      </c>
      <c r="K271" s="42">
        <f t="shared" si="11"/>
        <v>1035660.03</v>
      </c>
      <c r="L271" s="42">
        <f t="shared" si="11"/>
        <v>5946128.4399999995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15135.28</v>
      </c>
      <c r="G295" s="18">
        <v>5837.85</v>
      </c>
      <c r="H295" s="18">
        <v>5822.53</v>
      </c>
      <c r="I295" s="18">
        <v>920.74</v>
      </c>
      <c r="J295" s="18">
        <v>1501.5</v>
      </c>
      <c r="K295" s="18"/>
      <c r="L295" s="19">
        <f>SUM(F295:K295)</f>
        <v>29217.9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4991</v>
      </c>
      <c r="G296" s="18">
        <v>916.33</v>
      </c>
      <c r="H296" s="18">
        <v>1148.9000000000001</v>
      </c>
      <c r="I296" s="18">
        <v>245</v>
      </c>
      <c r="J296" s="18"/>
      <c r="K296" s="18"/>
      <c r="L296" s="19">
        <f>SUM(F296:K296)</f>
        <v>7301.23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1706.25</v>
      </c>
      <c r="G301" s="18">
        <v>376.87</v>
      </c>
      <c r="H301" s="18"/>
      <c r="I301" s="18"/>
      <c r="J301" s="18"/>
      <c r="K301" s="18"/>
      <c r="L301" s="19">
        <f t="shared" si="14"/>
        <v>2083.12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>
        <v>352.24</v>
      </c>
      <c r="L302" s="19">
        <f t="shared" si="14"/>
        <v>352.24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21832.53</v>
      </c>
      <c r="G309" s="42">
        <f t="shared" si="15"/>
        <v>7131.05</v>
      </c>
      <c r="H309" s="42">
        <f t="shared" si="15"/>
        <v>6971.43</v>
      </c>
      <c r="I309" s="42">
        <f t="shared" si="15"/>
        <v>1165.74</v>
      </c>
      <c r="J309" s="42">
        <f t="shared" si="15"/>
        <v>1501.5</v>
      </c>
      <c r="K309" s="42">
        <f t="shared" si="15"/>
        <v>352.24</v>
      </c>
      <c r="L309" s="41">
        <f t="shared" si="15"/>
        <v>38954.490000000005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28108.37</v>
      </c>
      <c r="G314" s="18">
        <v>10841.73</v>
      </c>
      <c r="H314" s="18">
        <v>10813.28</v>
      </c>
      <c r="I314" s="18">
        <v>1709.95</v>
      </c>
      <c r="J314" s="18">
        <v>2788.5</v>
      </c>
      <c r="K314" s="18"/>
      <c r="L314" s="19">
        <f>SUM(F314:K314)</f>
        <v>54261.829999999994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9269</v>
      </c>
      <c r="G315" s="18">
        <v>1701.75</v>
      </c>
      <c r="H315" s="18">
        <v>2133.6799999999998</v>
      </c>
      <c r="I315" s="18">
        <v>455</v>
      </c>
      <c r="J315" s="18"/>
      <c r="K315" s="18"/>
      <c r="L315" s="19">
        <f>SUM(F315:K315)</f>
        <v>13559.43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3168.75</v>
      </c>
      <c r="G320" s="18">
        <v>699.9</v>
      </c>
      <c r="H320" s="18"/>
      <c r="I320" s="18"/>
      <c r="J320" s="18"/>
      <c r="K320" s="18"/>
      <c r="L320" s="19">
        <f t="shared" si="16"/>
        <v>3868.65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>
        <v>654.16</v>
      </c>
      <c r="L321" s="19">
        <f t="shared" si="16"/>
        <v>654.16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40546.119999999995</v>
      </c>
      <c r="G328" s="42">
        <f t="shared" si="17"/>
        <v>13243.38</v>
      </c>
      <c r="H328" s="42">
        <f t="shared" si="17"/>
        <v>12946.960000000001</v>
      </c>
      <c r="I328" s="42">
        <f t="shared" si="17"/>
        <v>2164.9499999999998</v>
      </c>
      <c r="J328" s="42">
        <f t="shared" si="17"/>
        <v>2788.5</v>
      </c>
      <c r="K328" s="42">
        <f t="shared" si="17"/>
        <v>654.16</v>
      </c>
      <c r="L328" s="41">
        <f t="shared" si="17"/>
        <v>72344.069999999992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62378.649999999994</v>
      </c>
      <c r="G338" s="41">
        <f t="shared" si="20"/>
        <v>20374.43</v>
      </c>
      <c r="H338" s="41">
        <f t="shared" si="20"/>
        <v>19918.39</v>
      </c>
      <c r="I338" s="41">
        <f t="shared" si="20"/>
        <v>3330.6899999999996</v>
      </c>
      <c r="J338" s="41">
        <f t="shared" si="20"/>
        <v>4290</v>
      </c>
      <c r="K338" s="41">
        <f t="shared" si="20"/>
        <v>1006.4</v>
      </c>
      <c r="L338" s="41">
        <f t="shared" si="20"/>
        <v>111298.56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62378.649999999994</v>
      </c>
      <c r="G352" s="41">
        <f>G338</f>
        <v>20374.43</v>
      </c>
      <c r="H352" s="41">
        <f>H338</f>
        <v>19918.39</v>
      </c>
      <c r="I352" s="41">
        <f>I338</f>
        <v>3330.6899999999996</v>
      </c>
      <c r="J352" s="41">
        <f>J338</f>
        <v>4290</v>
      </c>
      <c r="K352" s="47">
        <f>K338+K351</f>
        <v>1006.4</v>
      </c>
      <c r="L352" s="41">
        <f>L338+L351</f>
        <v>111298.56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33650.26</v>
      </c>
      <c r="I359" s="18"/>
      <c r="J359" s="18"/>
      <c r="K359" s="18"/>
      <c r="L359" s="19">
        <f>SUM(F359:K359)</f>
        <v>33650.26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62493.34</v>
      </c>
      <c r="I360" s="18"/>
      <c r="J360" s="18"/>
      <c r="K360" s="18"/>
      <c r="L360" s="19">
        <f>SUM(F360:K360)</f>
        <v>62493.34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96143.6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96143.6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>
        <v>0</v>
      </c>
      <c r="H391" s="18">
        <v>6231.29</v>
      </c>
      <c r="I391" s="18"/>
      <c r="J391" s="24" t="s">
        <v>288</v>
      </c>
      <c r="K391" s="24" t="s">
        <v>288</v>
      </c>
      <c r="L391" s="56">
        <f t="shared" si="25"/>
        <v>6231.29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6231.29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6231.29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5000</v>
      </c>
      <c r="H400" s="18">
        <v>4235.63</v>
      </c>
      <c r="I400" s="18"/>
      <c r="J400" s="24" t="s">
        <v>288</v>
      </c>
      <c r="K400" s="24" t="s">
        <v>288</v>
      </c>
      <c r="L400" s="56">
        <f t="shared" si="26"/>
        <v>9235.630000000001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4235.63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9235.630000000001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</v>
      </c>
      <c r="H408" s="47">
        <f>H393+H401+H407</f>
        <v>10466.92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15466.920000000002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274643.51</v>
      </c>
      <c r="G439" s="18">
        <v>186782.96</v>
      </c>
      <c r="H439" s="18"/>
      <c r="I439" s="56">
        <f t="shared" ref="I439:I445" si="33">SUM(F439:H439)</f>
        <v>461426.47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274643.51</v>
      </c>
      <c r="G446" s="13">
        <f>SUM(G439:G445)</f>
        <v>186782.96</v>
      </c>
      <c r="H446" s="13">
        <f>SUM(H439:H445)</f>
        <v>0</v>
      </c>
      <c r="I446" s="13">
        <f>SUM(I439:I445)</f>
        <v>461426.47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274643.51</v>
      </c>
      <c r="G459" s="18">
        <v>186782.96</v>
      </c>
      <c r="H459" s="18"/>
      <c r="I459" s="56">
        <f t="shared" si="34"/>
        <v>461426.47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274643.51</v>
      </c>
      <c r="G460" s="83">
        <f>SUM(G454:G459)</f>
        <v>186782.96</v>
      </c>
      <c r="H460" s="83">
        <f>SUM(H454:H459)</f>
        <v>0</v>
      </c>
      <c r="I460" s="83">
        <f>SUM(I454:I459)</f>
        <v>461426.47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274643.51</v>
      </c>
      <c r="G461" s="42">
        <f>G452+G460</f>
        <v>186782.96</v>
      </c>
      <c r="H461" s="42">
        <f>H452+H460</f>
        <v>0</v>
      </c>
      <c r="I461" s="42">
        <f>I452+I460</f>
        <v>461426.47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296004.40999999997</v>
      </c>
      <c r="G465" s="18"/>
      <c r="H465" s="18"/>
      <c r="I465" s="18"/>
      <c r="J465" s="18">
        <v>445959.55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6031417.5800000001</v>
      </c>
      <c r="G468" s="18">
        <v>96143.6</v>
      </c>
      <c r="H468" s="18">
        <v>111298.56</v>
      </c>
      <c r="I468" s="18"/>
      <c r="J468" s="18">
        <v>15466.92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6031417.5800000001</v>
      </c>
      <c r="G470" s="53">
        <f>SUM(G468:G469)</f>
        <v>96143.6</v>
      </c>
      <c r="H470" s="53">
        <f>SUM(H468:H469)</f>
        <v>111298.56</v>
      </c>
      <c r="I470" s="53">
        <f>SUM(I468:I469)</f>
        <v>0</v>
      </c>
      <c r="J470" s="53">
        <f>SUM(J468:J469)</f>
        <v>15466.92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5946128.4400000004</v>
      </c>
      <c r="G472" s="18">
        <v>96143.6</v>
      </c>
      <c r="H472" s="18">
        <v>111298.56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5946128.4400000004</v>
      </c>
      <c r="G474" s="53">
        <f>SUM(G472:G473)</f>
        <v>96143.6</v>
      </c>
      <c r="H474" s="53">
        <f>SUM(H472:H473)</f>
        <v>111298.56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381293.54999999981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461426.47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12948800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7100000</v>
      </c>
      <c r="G495" s="18"/>
      <c r="H495" s="18"/>
      <c r="I495" s="18"/>
      <c r="J495" s="18"/>
      <c r="K495" s="53">
        <f>SUM(F495:J495)</f>
        <v>7100000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6450000</v>
      </c>
      <c r="G498" s="204"/>
      <c r="H498" s="204"/>
      <c r="I498" s="204"/>
      <c r="J498" s="204"/>
      <c r="K498" s="205">
        <f t="shared" si="35"/>
        <v>6450000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1453678.74</v>
      </c>
      <c r="G499" s="18"/>
      <c r="H499" s="18"/>
      <c r="I499" s="18"/>
      <c r="J499" s="18"/>
      <c r="K499" s="53">
        <f t="shared" si="35"/>
        <v>1453678.74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7903678.7400000002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7903678.7400000002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268481.26</v>
      </c>
      <c r="G502" s="18"/>
      <c r="H502" s="18"/>
      <c r="I502" s="18"/>
      <c r="J502" s="18"/>
      <c r="K502" s="53">
        <f t="shared" si="35"/>
        <v>268481.26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918481.26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918481.26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11892118.84</v>
      </c>
      <c r="G513" s="24" t="s">
        <v>288</v>
      </c>
      <c r="H513" s="18">
        <v>11886716.039999999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77896.759999999995</v>
      </c>
      <c r="G514" s="24" t="s">
        <v>288</v>
      </c>
      <c r="H514" s="18">
        <v>77550.09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11970015.6</v>
      </c>
      <c r="G517" s="42">
        <f>SUM(G511:G516)</f>
        <v>0</v>
      </c>
      <c r="H517" s="42">
        <f>SUM(H511:H516)</f>
        <v>11964266.129999999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133299.84</v>
      </c>
      <c r="G522" s="18">
        <v>99096.24</v>
      </c>
      <c r="H522" s="18">
        <v>45758.67</v>
      </c>
      <c r="I522" s="18">
        <v>2347.9899999999998</v>
      </c>
      <c r="J522" s="18"/>
      <c r="K522" s="18"/>
      <c r="L522" s="88">
        <f>SUM(F522:K522)</f>
        <v>280502.74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229289.24</v>
      </c>
      <c r="G523" s="18">
        <v>172725.5</v>
      </c>
      <c r="H523" s="18">
        <v>67173.710000000006</v>
      </c>
      <c r="I523" s="18">
        <v>5060.46</v>
      </c>
      <c r="J523" s="18"/>
      <c r="K523" s="18"/>
      <c r="L523" s="88">
        <f>SUM(F523:K523)</f>
        <v>474248.91000000003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362589.07999999996</v>
      </c>
      <c r="G524" s="108">
        <f t="shared" ref="G524:L524" si="36">SUM(G521:G523)</f>
        <v>271821.74</v>
      </c>
      <c r="H524" s="108">
        <f t="shared" si="36"/>
        <v>112932.38</v>
      </c>
      <c r="I524" s="108">
        <f t="shared" si="36"/>
        <v>7408.45</v>
      </c>
      <c r="J524" s="108">
        <f t="shared" si="36"/>
        <v>0</v>
      </c>
      <c r="K524" s="108">
        <f t="shared" si="36"/>
        <v>0</v>
      </c>
      <c r="L524" s="89">
        <f t="shared" si="36"/>
        <v>754751.65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v>20442.14</v>
      </c>
      <c r="I527" s="18">
        <v>0</v>
      </c>
      <c r="J527" s="18"/>
      <c r="K527" s="18"/>
      <c r="L527" s="88">
        <f>SUM(F527:K527)</f>
        <v>20442.14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0</v>
      </c>
      <c r="G528" s="18">
        <v>0</v>
      </c>
      <c r="H528" s="18">
        <v>43153.9</v>
      </c>
      <c r="I528" s="18">
        <v>0</v>
      </c>
      <c r="J528" s="18"/>
      <c r="K528" s="18"/>
      <c r="L528" s="88">
        <f>SUM(F528:K528)</f>
        <v>43153.9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63596.04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63596.04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0</v>
      </c>
      <c r="I537" s="18">
        <v>0</v>
      </c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0</v>
      </c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199.67</v>
      </c>
      <c r="I542" s="18"/>
      <c r="J542" s="18"/>
      <c r="K542" s="18"/>
      <c r="L542" s="88">
        <f>SUM(F542:K542)</f>
        <v>199.67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4178.03</v>
      </c>
      <c r="I543" s="18">
        <v>0</v>
      </c>
      <c r="J543" s="18"/>
      <c r="K543" s="18"/>
      <c r="L543" s="88">
        <f>SUM(F543:K543)</f>
        <v>4178.03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4377.7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4377.7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362589.07999999996</v>
      </c>
      <c r="G545" s="89">
        <f t="shared" ref="G545:L545" si="41">G524+G529+G534+G539+G544</f>
        <v>271821.74</v>
      </c>
      <c r="H545" s="89">
        <f t="shared" si="41"/>
        <v>180906.12000000002</v>
      </c>
      <c r="I545" s="89">
        <f t="shared" si="41"/>
        <v>7408.45</v>
      </c>
      <c r="J545" s="89">
        <f t="shared" si="41"/>
        <v>0</v>
      </c>
      <c r="K545" s="89">
        <f t="shared" si="41"/>
        <v>0</v>
      </c>
      <c r="L545" s="89">
        <f t="shared" si="41"/>
        <v>822725.39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280502.74</v>
      </c>
      <c r="G550" s="87">
        <f>L527</f>
        <v>20442.14</v>
      </c>
      <c r="H550" s="87">
        <f>L532</f>
        <v>0</v>
      </c>
      <c r="I550" s="87">
        <f>L537</f>
        <v>0</v>
      </c>
      <c r="J550" s="87">
        <f>L542</f>
        <v>199.67</v>
      </c>
      <c r="K550" s="87">
        <f>SUM(F550:J550)</f>
        <v>301144.55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474248.91000000003</v>
      </c>
      <c r="G551" s="87">
        <f>L528</f>
        <v>43153.9</v>
      </c>
      <c r="H551" s="87">
        <f>L533</f>
        <v>0</v>
      </c>
      <c r="I551" s="87">
        <f>L538</f>
        <v>0</v>
      </c>
      <c r="J551" s="87">
        <f>L543</f>
        <v>4178.03</v>
      </c>
      <c r="K551" s="87">
        <f>SUM(F551:J551)</f>
        <v>521580.84000000008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754751.65</v>
      </c>
      <c r="G552" s="89">
        <f t="shared" si="42"/>
        <v>63596.04</v>
      </c>
      <c r="H552" s="89">
        <f t="shared" si="42"/>
        <v>0</v>
      </c>
      <c r="I552" s="89">
        <f t="shared" si="42"/>
        <v>0</v>
      </c>
      <c r="J552" s="89">
        <f t="shared" si="42"/>
        <v>4377.7</v>
      </c>
      <c r="K552" s="89">
        <f t="shared" si="42"/>
        <v>822725.39000000013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>
        <v>1049.96</v>
      </c>
      <c r="J568" s="18"/>
      <c r="K568" s="18"/>
      <c r="L568" s="88">
        <f>SUM(F568:K568)</f>
        <v>1049.96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>
        <v>1949.92</v>
      </c>
      <c r="J569" s="18"/>
      <c r="K569" s="18"/>
      <c r="L569" s="88">
        <f>SUM(F569:K569)</f>
        <v>1949.92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2999.88</v>
      </c>
      <c r="J570" s="193">
        <f t="shared" si="45"/>
        <v>0</v>
      </c>
      <c r="K570" s="193">
        <f t="shared" si="45"/>
        <v>0</v>
      </c>
      <c r="L570" s="193">
        <f t="shared" si="45"/>
        <v>2999.88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2999.88</v>
      </c>
      <c r="J571" s="89">
        <f t="shared" si="46"/>
        <v>0</v>
      </c>
      <c r="K571" s="89">
        <f t="shared" si="46"/>
        <v>0</v>
      </c>
      <c r="L571" s="89">
        <f t="shared" si="46"/>
        <v>2999.88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25000</v>
      </c>
      <c r="I579" s="87">
        <f t="shared" si="47"/>
        <v>25000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11814.66</v>
      </c>
      <c r="H582" s="18"/>
      <c r="I582" s="87">
        <f t="shared" si="47"/>
        <v>11814.66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>
        <v>32361.200000000001</v>
      </c>
      <c r="H583" s="18"/>
      <c r="I583" s="87">
        <f t="shared" si="47"/>
        <v>32361.200000000001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41273.370000000003</v>
      </c>
      <c r="I584" s="87">
        <f t="shared" si="47"/>
        <v>41273.370000000003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>
        <v>11442.2</v>
      </c>
      <c r="J591" s="18">
        <v>21249.8</v>
      </c>
      <c r="K591" s="104">
        <f t="shared" ref="K591:K597" si="48">SUM(H591:J591)</f>
        <v>32692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>
        <v>199.67</v>
      </c>
      <c r="J592" s="18">
        <v>4178.03</v>
      </c>
      <c r="K592" s="104">
        <f t="shared" si="48"/>
        <v>4377.7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>
        <v>0</v>
      </c>
      <c r="J593" s="18">
        <v>16356.6</v>
      </c>
      <c r="K593" s="104">
        <f t="shared" si="48"/>
        <v>16356.6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12706.02</v>
      </c>
      <c r="J594" s="18">
        <v>23662.76</v>
      </c>
      <c r="K594" s="104">
        <f t="shared" si="48"/>
        <v>36368.78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18385.07</v>
      </c>
      <c r="J595" s="18">
        <v>17787.080000000002</v>
      </c>
      <c r="K595" s="104">
        <f t="shared" si="48"/>
        <v>36172.15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>
        <v>3992.33</v>
      </c>
      <c r="J597" s="18">
        <v>5638.11</v>
      </c>
      <c r="K597" s="104">
        <f t="shared" si="48"/>
        <v>9630.4399999999987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46725.29</v>
      </c>
      <c r="J598" s="108">
        <f>SUM(J591:J597)</f>
        <v>88872.38</v>
      </c>
      <c r="K598" s="108">
        <f>SUM(K591:K597)</f>
        <v>135597.66999999998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>
        <v>20820.63</v>
      </c>
      <c r="J604" s="18">
        <v>42959.19</v>
      </c>
      <c r="K604" s="104">
        <f>SUM(H604:J604)</f>
        <v>63779.820000000007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20820.63</v>
      </c>
      <c r="J605" s="108">
        <f>SUM(J602:J604)</f>
        <v>42959.19</v>
      </c>
      <c r="K605" s="108">
        <f>SUM(K602:K604)</f>
        <v>63779.820000000007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9948.77</v>
      </c>
      <c r="G612" s="18">
        <v>2015.68</v>
      </c>
      <c r="H612" s="18"/>
      <c r="I612" s="18">
        <v>1298.03</v>
      </c>
      <c r="J612" s="18"/>
      <c r="K612" s="18"/>
      <c r="L612" s="88">
        <f>SUM(F612:K612)</f>
        <v>13262.480000000001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9948.77</v>
      </c>
      <c r="G614" s="108">
        <f t="shared" si="49"/>
        <v>2015.68</v>
      </c>
      <c r="H614" s="108">
        <f t="shared" si="49"/>
        <v>0</v>
      </c>
      <c r="I614" s="108">
        <f t="shared" si="49"/>
        <v>1298.03</v>
      </c>
      <c r="J614" s="108">
        <f t="shared" si="49"/>
        <v>0</v>
      </c>
      <c r="K614" s="108">
        <f t="shared" si="49"/>
        <v>0</v>
      </c>
      <c r="L614" s="89">
        <f t="shared" si="49"/>
        <v>13262.480000000001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415120.93</v>
      </c>
      <c r="H617" s="109">
        <f>SUM(F52)</f>
        <v>415120.93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500</v>
      </c>
      <c r="H619" s="109">
        <f>SUM(H52)</f>
        <v>500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461426.47</v>
      </c>
      <c r="H621" s="109">
        <f>SUM(J52)</f>
        <v>461426.47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381293.55</v>
      </c>
      <c r="H622" s="109">
        <f>F476</f>
        <v>381293.54999999981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461426.47</v>
      </c>
      <c r="H626" s="109">
        <f>J476</f>
        <v>461426.47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6031417.5799999991</v>
      </c>
      <c r="H627" s="104">
        <f>SUM(F468)</f>
        <v>6031417.5800000001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96143.599999999991</v>
      </c>
      <c r="H628" s="104">
        <f>SUM(G468)</f>
        <v>96143.6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111298.56</v>
      </c>
      <c r="H629" s="104">
        <f>SUM(H468)</f>
        <v>111298.56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15466.92</v>
      </c>
      <c r="H631" s="104">
        <f>SUM(J468)</f>
        <v>15466.92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5946128.4399999995</v>
      </c>
      <c r="H632" s="104">
        <f>SUM(F472)</f>
        <v>5946128.4400000004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111298.56</v>
      </c>
      <c r="H633" s="104">
        <f>SUM(H472)</f>
        <v>111298.56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96143.6</v>
      </c>
      <c r="H635" s="104">
        <f>SUM(G472)</f>
        <v>96143.6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15466.920000000002</v>
      </c>
      <c r="H637" s="164">
        <f>SUM(J468)</f>
        <v>15466.92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274643.51</v>
      </c>
      <c r="H639" s="104">
        <f>SUM(F461)</f>
        <v>274643.51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186782.96</v>
      </c>
      <c r="H640" s="104">
        <f>SUM(G461)</f>
        <v>186782.96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461426.47</v>
      </c>
      <c r="H642" s="104">
        <f>SUM(I461)</f>
        <v>461426.47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10466.92</v>
      </c>
      <c r="H644" s="104">
        <f>H408</f>
        <v>10466.92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</v>
      </c>
      <c r="H645" s="104">
        <f>G408</f>
        <v>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15466.92</v>
      </c>
      <c r="H646" s="104">
        <f>L408</f>
        <v>15466.920000000002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135597.66999999998</v>
      </c>
      <c r="H647" s="104">
        <f>L208+L226+L244</f>
        <v>135597.67000000001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63779.820000000007</v>
      </c>
      <c r="H648" s="104">
        <f>(J257+J338)-(J255+J336)</f>
        <v>63779.819999999992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46725.29</v>
      </c>
      <c r="H650" s="104">
        <f>I598</f>
        <v>46725.29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88872.38</v>
      </c>
      <c r="H651" s="104">
        <f>J598</f>
        <v>88872.38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15902.51</v>
      </c>
      <c r="H652" s="104">
        <f>K263+K345</f>
        <v>15902.51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</v>
      </c>
      <c r="H655" s="104">
        <f>K266+K347</f>
        <v>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1759559.6</v>
      </c>
      <c r="H660" s="19">
        <f>(L247+L328+L360)</f>
        <v>3397616.2299999995</v>
      </c>
      <c r="I660" s="19">
        <f>SUM(F660:H660)</f>
        <v>5157175.83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18677.3685</v>
      </c>
      <c r="H661" s="19">
        <f>(L360/IF(SUM(L358:L360)=0,1,SUM(L358:L360))*(SUM(G97:G110)))</f>
        <v>34686.541499999999</v>
      </c>
      <c r="I661" s="19">
        <f>SUM(F661:H661)</f>
        <v>53363.91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46725.29</v>
      </c>
      <c r="H662" s="19">
        <f>(L244+L325)-(J244+J325)</f>
        <v>88872.38</v>
      </c>
      <c r="I662" s="19">
        <f>SUM(F662:H662)</f>
        <v>135597.67000000001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78258.97</v>
      </c>
      <c r="H663" s="199">
        <f>SUM(H575:H587)+SUM(J602:J604)+L613</f>
        <v>109232.56</v>
      </c>
      <c r="I663" s="19">
        <f>SUM(F663:H663)</f>
        <v>187491.53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1615897.9715</v>
      </c>
      <c r="H664" s="19">
        <f>H660-SUM(H661:H663)</f>
        <v>3164824.7484999998</v>
      </c>
      <c r="I664" s="19">
        <f>I660-SUM(I661:I663)</f>
        <v>4780722.72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74.91</v>
      </c>
      <c r="H665" s="248">
        <v>137.72999999999999</v>
      </c>
      <c r="I665" s="19">
        <f>SUM(F665:H665)</f>
        <v>212.64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21571.19</v>
      </c>
      <c r="H667" s="19">
        <f>ROUND(H664/H665,2)</f>
        <v>22978.47</v>
      </c>
      <c r="I667" s="19">
        <f>ROUND(I664/I665,2)</f>
        <v>22482.71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-8.56</v>
      </c>
      <c r="I670" s="19">
        <f>SUM(F670:H670)</f>
        <v>-8.56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>
        <f>ROUND((G664+G669)/(G665+G670),2)</f>
        <v>21571.19</v>
      </c>
      <c r="H672" s="19">
        <f>ROUND((H664+H669)/(H665+H670),2)</f>
        <v>24501.24</v>
      </c>
      <c r="I672" s="19">
        <f>ROUND((I664+I669)/(I665+I670),2)</f>
        <v>23425.73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5" workbookViewId="0">
      <selection activeCell="C44" sqref="C4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PROFILE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1359564.85</v>
      </c>
      <c r="C9" s="229">
        <f>'DOE25'!G197+'DOE25'!G215+'DOE25'!G233+'DOE25'!G276+'DOE25'!G295+'DOE25'!G314</f>
        <v>631715.5199999999</v>
      </c>
    </row>
    <row r="10" spans="1:3" x14ac:dyDescent="0.2">
      <c r="A10" t="s">
        <v>778</v>
      </c>
      <c r="B10" s="240">
        <v>1299314.8899999999</v>
      </c>
      <c r="C10" s="240">
        <v>600253.72</v>
      </c>
    </row>
    <row r="11" spans="1:3" x14ac:dyDescent="0.2">
      <c r="A11" t="s">
        <v>779</v>
      </c>
      <c r="B11" s="240">
        <v>31076.06</v>
      </c>
      <c r="C11" s="240">
        <v>29230</v>
      </c>
    </row>
    <row r="12" spans="1:3" x14ac:dyDescent="0.2">
      <c r="A12" t="s">
        <v>780</v>
      </c>
      <c r="B12" s="240">
        <v>29173.9</v>
      </c>
      <c r="C12" s="240">
        <v>2231.8000000000002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1359564.8499999999</v>
      </c>
      <c r="C13" s="231">
        <f>SUM(C10:C12)</f>
        <v>631715.52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362589.07999999996</v>
      </c>
      <c r="C18" s="229">
        <f>'DOE25'!G198+'DOE25'!G216+'DOE25'!G234+'DOE25'!G277+'DOE25'!G296+'DOE25'!G315</f>
        <v>271821.74000000005</v>
      </c>
    </row>
    <row r="19" spans="1:3" x14ac:dyDescent="0.2">
      <c r="A19" t="s">
        <v>778</v>
      </c>
      <c r="B19" s="240">
        <v>121188</v>
      </c>
      <c r="C19" s="240">
        <v>64045</v>
      </c>
    </row>
    <row r="20" spans="1:3" x14ac:dyDescent="0.2">
      <c r="A20" t="s">
        <v>779</v>
      </c>
      <c r="B20" s="240">
        <v>241401.08</v>
      </c>
      <c r="C20" s="240">
        <v>207776.74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362589.07999999996</v>
      </c>
      <c r="C22" s="231">
        <f>SUM(C19:C21)</f>
        <v>271821.74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114940</v>
      </c>
      <c r="C27" s="234">
        <f>'DOE25'!G199+'DOE25'!G217+'DOE25'!G235+'DOE25'!G278+'DOE25'!G297+'DOE25'!G316</f>
        <v>62857.16</v>
      </c>
    </row>
    <row r="28" spans="1:3" x14ac:dyDescent="0.2">
      <c r="A28" t="s">
        <v>778</v>
      </c>
      <c r="B28" s="240">
        <v>114940</v>
      </c>
      <c r="C28" s="240">
        <v>62857.16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114940</v>
      </c>
      <c r="C31" s="231">
        <f>SUM(C28:C30)</f>
        <v>62857.16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90479.75</v>
      </c>
      <c r="C36" s="235">
        <f>'DOE25'!G200+'DOE25'!G218+'DOE25'!G236+'DOE25'!G279+'DOE25'!G298+'DOE25'!G317</f>
        <v>21787.65</v>
      </c>
    </row>
    <row r="37" spans="1:3" x14ac:dyDescent="0.2">
      <c r="A37" t="s">
        <v>778</v>
      </c>
      <c r="B37" s="240">
        <v>74479.75</v>
      </c>
      <c r="C37" s="240">
        <v>18701.650000000001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16000</v>
      </c>
      <c r="C39" s="240">
        <v>3086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90479.75</v>
      </c>
      <c r="C40" s="231">
        <f>SUM(C37:C39)</f>
        <v>21787.65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9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PROFILE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3166834.0300000003</v>
      </c>
      <c r="D5" s="20">
        <f>SUM('DOE25'!L197:L200)+SUM('DOE25'!L215:L218)+SUM('DOE25'!L233:L236)-F5-G5</f>
        <v>3100169.2700000005</v>
      </c>
      <c r="E5" s="243"/>
      <c r="F5" s="255">
        <f>SUM('DOE25'!J197:J200)+SUM('DOE25'!J215:J218)+SUM('DOE25'!J233:J236)</f>
        <v>56064.13</v>
      </c>
      <c r="G5" s="53">
        <f>SUM('DOE25'!K197:K200)+SUM('DOE25'!K215:K218)+SUM('DOE25'!K233:K236)</f>
        <v>10600.630000000001</v>
      </c>
      <c r="H5" s="259"/>
    </row>
    <row r="6" spans="1:9" x14ac:dyDescent="0.2">
      <c r="A6" s="32">
        <v>2100</v>
      </c>
      <c r="B6" t="s">
        <v>800</v>
      </c>
      <c r="C6" s="245">
        <f t="shared" si="0"/>
        <v>245574.90999999997</v>
      </c>
      <c r="D6" s="20">
        <f>'DOE25'!L202+'DOE25'!L220+'DOE25'!L238-F6-G6</f>
        <v>245574.90999999997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209683.7</v>
      </c>
      <c r="D7" s="20">
        <f>'DOE25'!L203+'DOE25'!L221+'DOE25'!L239-F7-G7</f>
        <v>195890.40000000002</v>
      </c>
      <c r="E7" s="243"/>
      <c r="F7" s="255">
        <f>'DOE25'!J203+'DOE25'!J221+'DOE25'!J239</f>
        <v>-282</v>
      </c>
      <c r="G7" s="53">
        <f>'DOE25'!K203+'DOE25'!K221+'DOE25'!K239</f>
        <v>14075.3</v>
      </c>
      <c r="H7" s="259"/>
    </row>
    <row r="8" spans="1:9" x14ac:dyDescent="0.2">
      <c r="A8" s="32">
        <v>2300</v>
      </c>
      <c r="B8" t="s">
        <v>801</v>
      </c>
      <c r="C8" s="245">
        <f t="shared" si="0"/>
        <v>181351.93999999997</v>
      </c>
      <c r="D8" s="243"/>
      <c r="E8" s="20">
        <f>'DOE25'!L204+'DOE25'!L222+'DOE25'!L240-F8-G8-D9-D11</f>
        <v>171656.65999999997</v>
      </c>
      <c r="F8" s="255">
        <f>'DOE25'!J204+'DOE25'!J222+'DOE25'!J240</f>
        <v>0</v>
      </c>
      <c r="G8" s="53">
        <f>'DOE25'!K204+'DOE25'!K222+'DOE25'!K240</f>
        <v>9695.2800000000007</v>
      </c>
      <c r="H8" s="259"/>
    </row>
    <row r="9" spans="1:9" x14ac:dyDescent="0.2">
      <c r="A9" s="32">
        <v>2310</v>
      </c>
      <c r="B9" t="s">
        <v>817</v>
      </c>
      <c r="C9" s="245">
        <f t="shared" si="0"/>
        <v>57338.39</v>
      </c>
      <c r="D9" s="244">
        <v>57338.39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8535</v>
      </c>
      <c r="D10" s="243"/>
      <c r="E10" s="244">
        <v>8535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75314.06</v>
      </c>
      <c r="D11" s="244">
        <v>75314.06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399832.80999999994</v>
      </c>
      <c r="D12" s="20">
        <f>'DOE25'!L205+'DOE25'!L223+'DOE25'!L241-F12-G12</f>
        <v>394658.76999999996</v>
      </c>
      <c r="E12" s="243"/>
      <c r="F12" s="255">
        <f>'DOE25'!J205+'DOE25'!J223+'DOE25'!J241</f>
        <v>279.99</v>
      </c>
      <c r="G12" s="53">
        <f>'DOE25'!K205+'DOE25'!K223+'DOE25'!K241</f>
        <v>4894.0499999999993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478206.16000000003</v>
      </c>
      <c r="D14" s="20">
        <f>'DOE25'!L207+'DOE25'!L225+'DOE25'!L243-F14-G14</f>
        <v>474778.46</v>
      </c>
      <c r="E14" s="243"/>
      <c r="F14" s="255">
        <f>'DOE25'!J207+'DOE25'!J225+'DOE25'!J243</f>
        <v>3427.7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135597.67000000001</v>
      </c>
      <c r="D15" s="20">
        <f>'DOE25'!L208+'DOE25'!L226+'DOE25'!L244-F15-G15</f>
        <v>135597.67000000001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950981.26</v>
      </c>
      <c r="D25" s="243"/>
      <c r="E25" s="243"/>
      <c r="F25" s="258"/>
      <c r="G25" s="256"/>
      <c r="H25" s="257">
        <f>'DOE25'!L260+'DOE25'!L261+'DOE25'!L341+'DOE25'!L342</f>
        <v>950981.26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96143.6</v>
      </c>
      <c r="D29" s="20">
        <f>'DOE25'!L358+'DOE25'!L359+'DOE25'!L360-'DOE25'!I367-F29-G29</f>
        <v>96143.6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111298.56</v>
      </c>
      <c r="D31" s="20">
        <f>'DOE25'!L290+'DOE25'!L309+'DOE25'!L328+'DOE25'!L333+'DOE25'!L334+'DOE25'!L335-F31-G31</f>
        <v>106002.16</v>
      </c>
      <c r="E31" s="243"/>
      <c r="F31" s="255">
        <f>'DOE25'!J290+'DOE25'!J309+'DOE25'!J328+'DOE25'!J333+'DOE25'!J334+'DOE25'!J335</f>
        <v>4290</v>
      </c>
      <c r="G31" s="53">
        <f>'DOE25'!K290+'DOE25'!K309+'DOE25'!K328+'DOE25'!K333+'DOE25'!K334+'DOE25'!K335</f>
        <v>1006.4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4881467.6900000004</v>
      </c>
      <c r="E33" s="246">
        <f>SUM(E5:E31)</f>
        <v>180191.65999999997</v>
      </c>
      <c r="F33" s="246">
        <f>SUM(F5:F31)</f>
        <v>63779.819999999992</v>
      </c>
      <c r="G33" s="246">
        <f>SUM(G5:G31)</f>
        <v>40271.659999999996</v>
      </c>
      <c r="H33" s="246">
        <f>SUM(H5:H31)</f>
        <v>950981.26</v>
      </c>
    </row>
    <row r="35" spans="2:8" ht="12" thickBot="1" x14ac:dyDescent="0.25">
      <c r="B35" s="253" t="s">
        <v>846</v>
      </c>
      <c r="D35" s="254">
        <f>E33</f>
        <v>180191.65999999997</v>
      </c>
      <c r="E35" s="249"/>
    </row>
    <row r="36" spans="2:8" ht="12" thickTop="1" x14ac:dyDescent="0.2">
      <c r="B36" t="s">
        <v>814</v>
      </c>
      <c r="D36" s="20">
        <f>D33</f>
        <v>4881467.6900000004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374332.99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461426.47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20635.599999999999</v>
      </c>
      <c r="D11" s="95">
        <f>'DOE25'!G12</f>
        <v>-10418.94</v>
      </c>
      <c r="E11" s="95">
        <f>'DOE25'!H12</f>
        <v>-10216.66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14194.06</v>
      </c>
      <c r="D12" s="95">
        <f>'DOE25'!G13</f>
        <v>1464.69</v>
      </c>
      <c r="E12" s="95">
        <f>'DOE25'!H13</f>
        <v>10716.66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5958.28</v>
      </c>
      <c r="D13" s="95">
        <f>'DOE25'!G14</f>
        <v>8954.25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415120.93</v>
      </c>
      <c r="D18" s="41">
        <f>SUM(D8:D17)</f>
        <v>0</v>
      </c>
      <c r="E18" s="41">
        <f>SUM(E8:E17)</f>
        <v>500</v>
      </c>
      <c r="F18" s="41">
        <f>SUM(F8:F17)</f>
        <v>0</v>
      </c>
      <c r="G18" s="41">
        <f>SUM(G8:G17)</f>
        <v>461426.47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33827.379999999997</v>
      </c>
      <c r="D23" s="95">
        <f>'DOE25'!G24</f>
        <v>0</v>
      </c>
      <c r="E23" s="95">
        <f>'DOE25'!H24</f>
        <v>500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33827.379999999997</v>
      </c>
      <c r="D31" s="41">
        <f>SUM(D21:D30)</f>
        <v>0</v>
      </c>
      <c r="E31" s="41">
        <f>SUM(E21:E30)</f>
        <v>500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461426.47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381293.55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381293.55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461426.47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415120.93</v>
      </c>
      <c r="D51" s="41">
        <f>D50+D31</f>
        <v>0</v>
      </c>
      <c r="E51" s="41">
        <f>E50+E31</f>
        <v>500</v>
      </c>
      <c r="F51" s="41">
        <f>F50+F31</f>
        <v>0</v>
      </c>
      <c r="G51" s="41">
        <f>G50+G31</f>
        <v>461426.47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4119203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105500.14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261.01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10466.92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53363.91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20603.7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126364.84999999999</v>
      </c>
      <c r="D62" s="130">
        <f>SUM(D57:D61)</f>
        <v>53363.91</v>
      </c>
      <c r="E62" s="130">
        <f>SUM(E57:E61)</f>
        <v>0</v>
      </c>
      <c r="F62" s="130">
        <f>SUM(F57:F61)</f>
        <v>0</v>
      </c>
      <c r="G62" s="130">
        <f>SUM(G57:G61)</f>
        <v>10466.92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4245567.8499999996</v>
      </c>
      <c r="D63" s="22">
        <f>D56+D62</f>
        <v>53363.91</v>
      </c>
      <c r="E63" s="22">
        <f>E56+E62</f>
        <v>0</v>
      </c>
      <c r="F63" s="22">
        <f>F56+F62</f>
        <v>0</v>
      </c>
      <c r="G63" s="22">
        <f>G56+G62</f>
        <v>10466.92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609642.84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745991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1355633.8399999999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379536.36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5430.6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18605</v>
      </c>
      <c r="D77" s="95">
        <f>SUM('DOE25'!G131:G135)</f>
        <v>1077.29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403571.95999999996</v>
      </c>
      <c r="D78" s="130">
        <f>SUM(D72:D77)</f>
        <v>1077.29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1759205.7999999998</v>
      </c>
      <c r="D81" s="130">
        <f>SUM(D79:D80)+D78+D70</f>
        <v>1077.29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26183.39</v>
      </c>
      <c r="D88" s="95">
        <f>SUM('DOE25'!G153:G161)</f>
        <v>25799.89</v>
      </c>
      <c r="E88" s="95">
        <f>SUM('DOE25'!H153:H161)</f>
        <v>111298.56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460.54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26643.93</v>
      </c>
      <c r="D91" s="131">
        <f>SUM(D85:D90)</f>
        <v>25799.89</v>
      </c>
      <c r="E91" s="131">
        <f>SUM(E85:E90)</f>
        <v>111298.56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15902.51</v>
      </c>
      <c r="E96" s="95">
        <f>'DOE25'!H179</f>
        <v>0</v>
      </c>
      <c r="F96" s="95">
        <f>'DOE25'!I179</f>
        <v>0</v>
      </c>
      <c r="G96" s="95">
        <f>'DOE25'!J179</f>
        <v>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15902.51</v>
      </c>
      <c r="E103" s="86">
        <f>SUM(E93:E102)</f>
        <v>0</v>
      </c>
      <c r="F103" s="86">
        <f>SUM(F93:F102)</f>
        <v>0</v>
      </c>
      <c r="G103" s="86">
        <f>SUM(G93:G102)</f>
        <v>5000</v>
      </c>
    </row>
    <row r="104" spans="1:7" ht="12.75" thickTop="1" thickBot="1" x14ac:dyDescent="0.25">
      <c r="A104" s="33" t="s">
        <v>764</v>
      </c>
      <c r="C104" s="86">
        <f>C63+C81+C91+C103</f>
        <v>6031417.5799999991</v>
      </c>
      <c r="D104" s="86">
        <f>D63+D81+D91+D103</f>
        <v>96143.599999999991</v>
      </c>
      <c r="E104" s="86">
        <f>E63+E81+E91+E103</f>
        <v>111298.56</v>
      </c>
      <c r="F104" s="86">
        <f>F63+F81+F91+F103</f>
        <v>0</v>
      </c>
      <c r="G104" s="86">
        <f>G63+G81+G103</f>
        <v>15466.92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2045245.03</v>
      </c>
      <c r="D109" s="24" t="s">
        <v>288</v>
      </c>
      <c r="E109" s="95">
        <f>('DOE25'!L276)+('DOE25'!L295)+('DOE25'!L314)</f>
        <v>83479.73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733890.99</v>
      </c>
      <c r="D110" s="24" t="s">
        <v>288</v>
      </c>
      <c r="E110" s="95">
        <f>('DOE25'!L277)+('DOE25'!L296)+('DOE25'!L315)</f>
        <v>20860.66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229384.71000000002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158313.30000000002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3166834.03</v>
      </c>
      <c r="D115" s="86">
        <f>SUM(D109:D114)</f>
        <v>0</v>
      </c>
      <c r="E115" s="86">
        <f>SUM(E109:E114)</f>
        <v>104340.39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245574.90999999997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209683.7</v>
      </c>
      <c r="D119" s="24" t="s">
        <v>288</v>
      </c>
      <c r="E119" s="95">
        <f>+('DOE25'!L282)+('DOE25'!L301)+('DOE25'!L320)</f>
        <v>5951.77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314004.39</v>
      </c>
      <c r="D120" s="24" t="s">
        <v>288</v>
      </c>
      <c r="E120" s="95">
        <f>+('DOE25'!L283)+('DOE25'!L302)+('DOE25'!L321)</f>
        <v>1006.4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399832.80999999994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478206.16000000003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135597.67000000001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96143.6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1782899.6400000001</v>
      </c>
      <c r="D128" s="86">
        <f>SUM(D118:D127)</f>
        <v>96143.6</v>
      </c>
      <c r="E128" s="86">
        <f>SUM(E118:E127)</f>
        <v>6958.17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300981.26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15902.51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6231.29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9235.630000000001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-10466.920000000002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24511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996394.77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5946128.4399999995</v>
      </c>
      <c r="D145" s="86">
        <f>(D115+D128+D144)</f>
        <v>96143.6</v>
      </c>
      <c r="E145" s="86">
        <f>(E115+E128+E144)</f>
        <v>111298.56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01/07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01/27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12948800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7100000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6450000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6450000</v>
      </c>
    </row>
    <row r="160" spans="1:9" x14ac:dyDescent="0.2">
      <c r="A160" s="22" t="s">
        <v>36</v>
      </c>
      <c r="B160" s="137">
        <f>'DOE25'!F499</f>
        <v>1453678.74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1453678.74</v>
      </c>
    </row>
    <row r="161" spans="1:7" x14ac:dyDescent="0.2">
      <c r="A161" s="22" t="s">
        <v>37</v>
      </c>
      <c r="B161" s="137">
        <f>'DOE25'!F500</f>
        <v>7903678.7400000002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7903678.7400000002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268481.26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268481.26</v>
      </c>
    </row>
    <row r="164" spans="1:7" x14ac:dyDescent="0.2">
      <c r="A164" s="22" t="s">
        <v>246</v>
      </c>
      <c r="B164" s="137">
        <f>'DOE25'!F503</f>
        <v>918481.26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918481.26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PROFILE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21571</v>
      </c>
    </row>
    <row r="6" spans="1:4" x14ac:dyDescent="0.2">
      <c r="B6" t="s">
        <v>62</v>
      </c>
      <c r="C6" s="179">
        <f>IF('DOE25'!H665+'DOE25'!H670=0,0,ROUND('DOE25'!H672,0))</f>
        <v>24501</v>
      </c>
    </row>
    <row r="7" spans="1:4" x14ac:dyDescent="0.2">
      <c r="B7" t="s">
        <v>704</v>
      </c>
      <c r="C7" s="179">
        <f>IF('DOE25'!I665+'DOE25'!I670=0,0,ROUND('DOE25'!I672,0))</f>
        <v>23426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2128725</v>
      </c>
      <c r="D10" s="182">
        <f>ROUND((C10/$C$28)*100,1)</f>
        <v>39.200000000000003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754752</v>
      </c>
      <c r="D11" s="182">
        <f>ROUND((C11/$C$28)*100,1)</f>
        <v>13.9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229385</v>
      </c>
      <c r="D12" s="182">
        <f>ROUND((C12/$C$28)*100,1)</f>
        <v>4.2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158313</v>
      </c>
      <c r="D13" s="182">
        <f>ROUND((C13/$C$28)*100,1)</f>
        <v>2.9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245575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215635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315011</v>
      </c>
      <c r="D17" s="182">
        <f t="shared" si="0"/>
        <v>5.8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399833</v>
      </c>
      <c r="D18" s="182">
        <f t="shared" si="0"/>
        <v>7.4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478206</v>
      </c>
      <c r="D20" s="182">
        <f t="shared" si="0"/>
        <v>8.8000000000000007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135598</v>
      </c>
      <c r="D21" s="182">
        <f t="shared" si="0"/>
        <v>2.5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300981</v>
      </c>
      <c r="D25" s="182">
        <f t="shared" si="0"/>
        <v>5.5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24511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42780.09</v>
      </c>
      <c r="D27" s="182">
        <f t="shared" si="0"/>
        <v>0.8</v>
      </c>
    </row>
    <row r="28" spans="1:4" x14ac:dyDescent="0.2">
      <c r="B28" s="187" t="s">
        <v>722</v>
      </c>
      <c r="C28" s="180">
        <f>SUM(C10:C27)</f>
        <v>5429305.0899999999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5429305.0899999999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4119203</v>
      </c>
      <c r="D35" s="182">
        <f t="shared" ref="D35:D40" si="1">ROUND((C35/$C$41)*100,1)</f>
        <v>66.7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136831.76999999955</v>
      </c>
      <c r="D36" s="182">
        <f t="shared" si="1"/>
        <v>2.2000000000000002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1355634</v>
      </c>
      <c r="D37" s="182">
        <f t="shared" si="1"/>
        <v>21.9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404649</v>
      </c>
      <c r="D38" s="182">
        <f t="shared" si="1"/>
        <v>6.5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163742</v>
      </c>
      <c r="D39" s="182">
        <f t="shared" si="1"/>
        <v>2.6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6180059.7699999996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PROFILE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2017-10-04T13:20:51Z</cp:lastPrinted>
  <dcterms:created xsi:type="dcterms:W3CDTF">1997-12-04T19:04:30Z</dcterms:created>
  <dcterms:modified xsi:type="dcterms:W3CDTF">2017-11-29T18:00:35Z</dcterms:modified>
</cp:coreProperties>
</file>