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H400" i="1" l="1"/>
  <c r="H543" i="1" l="1"/>
  <c r="H542" i="1"/>
  <c r="H541" i="1"/>
  <c r="H538" i="1"/>
  <c r="H537" i="1"/>
  <c r="H536" i="1"/>
  <c r="H533" i="1"/>
  <c r="G533" i="1"/>
  <c r="F533" i="1"/>
  <c r="H532" i="1"/>
  <c r="G532" i="1"/>
  <c r="F532" i="1"/>
  <c r="H531" i="1"/>
  <c r="G531" i="1"/>
  <c r="F531" i="1"/>
  <c r="J528" i="1"/>
  <c r="I528" i="1"/>
  <c r="H528" i="1"/>
  <c r="G528" i="1"/>
  <c r="F528" i="1"/>
  <c r="J527" i="1"/>
  <c r="I527" i="1"/>
  <c r="H527" i="1"/>
  <c r="G527" i="1"/>
  <c r="F527" i="1"/>
  <c r="J526" i="1"/>
  <c r="I526" i="1"/>
  <c r="H526" i="1"/>
  <c r="G526" i="1"/>
  <c r="F526" i="1"/>
  <c r="H521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G521" i="1"/>
  <c r="F521" i="1"/>
  <c r="G216" i="1" l="1"/>
  <c r="G234" i="1"/>
  <c r="G215" i="1"/>
  <c r="G198" i="1"/>
  <c r="K234" i="1"/>
  <c r="J234" i="1"/>
  <c r="I234" i="1"/>
  <c r="K216" i="1"/>
  <c r="J216" i="1"/>
  <c r="I216" i="1"/>
  <c r="J604" i="1"/>
  <c r="I604" i="1"/>
  <c r="H604" i="1"/>
  <c r="J592" i="1"/>
  <c r="I592" i="1"/>
  <c r="H592" i="1"/>
  <c r="H244" i="1"/>
  <c r="H226" i="1"/>
  <c r="H208" i="1"/>
  <c r="I253" i="1" l="1"/>
  <c r="K242" i="1"/>
  <c r="K224" i="1"/>
  <c r="K206" i="1"/>
  <c r="H245" i="1"/>
  <c r="H227" i="1"/>
  <c r="H209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H242" i="1"/>
  <c r="G242" i="1"/>
  <c r="F242" i="1"/>
  <c r="H224" i="1"/>
  <c r="G224" i="1"/>
  <c r="F224" i="1"/>
  <c r="H206" i="1"/>
  <c r="G206" i="1"/>
  <c r="F206" i="1"/>
  <c r="K240" i="1"/>
  <c r="I240" i="1"/>
  <c r="H240" i="1"/>
  <c r="G240" i="1"/>
  <c r="F240" i="1"/>
  <c r="K222" i="1"/>
  <c r="I222" i="1"/>
  <c r="H222" i="1"/>
  <c r="G222" i="1"/>
  <c r="F222" i="1"/>
  <c r="K204" i="1"/>
  <c r="I204" i="1"/>
  <c r="H204" i="1"/>
  <c r="G204" i="1"/>
  <c r="F204" i="1"/>
  <c r="J239" i="1"/>
  <c r="I239" i="1"/>
  <c r="H239" i="1"/>
  <c r="G239" i="1"/>
  <c r="F239" i="1"/>
  <c r="J221" i="1"/>
  <c r="I221" i="1"/>
  <c r="H221" i="1"/>
  <c r="G221" i="1"/>
  <c r="F221" i="1"/>
  <c r="J203" i="1"/>
  <c r="I203" i="1"/>
  <c r="H203" i="1"/>
  <c r="G203" i="1"/>
  <c r="F203" i="1"/>
  <c r="I238" i="1"/>
  <c r="G238" i="1"/>
  <c r="F238" i="1"/>
  <c r="I220" i="1"/>
  <c r="G220" i="1"/>
  <c r="F220" i="1"/>
  <c r="I202" i="1"/>
  <c r="G202" i="1"/>
  <c r="F202" i="1"/>
  <c r="I218" i="1"/>
  <c r="H218" i="1"/>
  <c r="G218" i="1"/>
  <c r="F218" i="1"/>
  <c r="I200" i="1"/>
  <c r="H200" i="1"/>
  <c r="G200" i="1"/>
  <c r="F200" i="1"/>
  <c r="H234" i="1"/>
  <c r="F234" i="1"/>
  <c r="H216" i="1"/>
  <c r="F216" i="1"/>
  <c r="K198" i="1"/>
  <c r="J198" i="1"/>
  <c r="I198" i="1"/>
  <c r="H198" i="1"/>
  <c r="F198" i="1"/>
  <c r="H233" i="1"/>
  <c r="G233" i="1"/>
  <c r="F233" i="1"/>
  <c r="H215" i="1"/>
  <c r="F215" i="1"/>
  <c r="H197" i="1"/>
  <c r="G197" i="1"/>
  <c r="F197" i="1"/>
  <c r="H320" i="1" l="1"/>
  <c r="G320" i="1"/>
  <c r="F320" i="1"/>
  <c r="H301" i="1"/>
  <c r="G301" i="1"/>
  <c r="F301" i="1"/>
  <c r="H282" i="1"/>
  <c r="G282" i="1"/>
  <c r="F282" i="1"/>
  <c r="H319" i="1"/>
  <c r="G319" i="1"/>
  <c r="F319" i="1"/>
  <c r="H300" i="1"/>
  <c r="G300" i="1"/>
  <c r="F300" i="1"/>
  <c r="H281" i="1"/>
  <c r="G281" i="1"/>
  <c r="F281" i="1"/>
  <c r="I315" i="1"/>
  <c r="I296" i="1"/>
  <c r="I277" i="1"/>
  <c r="I314" i="1"/>
  <c r="I295" i="1"/>
  <c r="I276" i="1"/>
  <c r="H315" i="1"/>
  <c r="H314" i="1"/>
  <c r="H295" i="1"/>
  <c r="H276" i="1"/>
  <c r="I320" i="1"/>
  <c r="J314" i="1"/>
  <c r="G315" i="1"/>
  <c r="F315" i="1"/>
  <c r="J295" i="1"/>
  <c r="G295" i="1"/>
  <c r="F295" i="1"/>
  <c r="I279" i="1"/>
  <c r="G279" i="1"/>
  <c r="F279" i="1"/>
  <c r="H277" i="1"/>
  <c r="G277" i="1"/>
  <c r="F277" i="1"/>
  <c r="J276" i="1"/>
  <c r="G276" i="1"/>
  <c r="F276" i="1"/>
  <c r="G613" i="1" l="1"/>
  <c r="G612" i="1"/>
  <c r="H155" i="1"/>
  <c r="H159" i="1"/>
  <c r="H154" i="1"/>
  <c r="K241" i="1"/>
  <c r="K236" i="1" l="1"/>
  <c r="K233" i="1"/>
  <c r="K223" i="1"/>
  <c r="K205" i="1"/>
  <c r="J238" i="1"/>
  <c r="J236" i="1"/>
  <c r="J233" i="1"/>
  <c r="J215" i="1"/>
  <c r="J197" i="1"/>
  <c r="I241" i="1"/>
  <c r="I236" i="1"/>
  <c r="I233" i="1"/>
  <c r="I223" i="1"/>
  <c r="I215" i="1"/>
  <c r="I205" i="1"/>
  <c r="I197" i="1"/>
  <c r="H241" i="1"/>
  <c r="H235" i="1"/>
  <c r="H238" i="1"/>
  <c r="H236" i="1"/>
  <c r="H223" i="1"/>
  <c r="H220" i="1"/>
  <c r="H205" i="1"/>
  <c r="H202" i="1"/>
  <c r="G241" i="1"/>
  <c r="G236" i="1" l="1"/>
  <c r="G223" i="1"/>
  <c r="G205" i="1"/>
  <c r="F241" i="1"/>
  <c r="F236" i="1"/>
  <c r="F223" i="1"/>
  <c r="F205" i="1"/>
  <c r="F98" i="1" l="1"/>
  <c r="F102" i="1"/>
  <c r="F28" i="1"/>
  <c r="F29" i="1"/>
  <c r="F24" i="1"/>
  <c r="F9" i="1"/>
  <c r="J426" i="1"/>
  <c r="J468" i="1"/>
  <c r="G30" i="1"/>
  <c r="I360" i="1"/>
  <c r="H360" i="1"/>
  <c r="G360" i="1"/>
  <c r="I359" i="1"/>
  <c r="I3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I446" i="1"/>
  <c r="G642" i="1" s="1"/>
  <c r="F452" i="1"/>
  <c r="G452" i="1"/>
  <c r="H452" i="1"/>
  <c r="H461" i="1" s="1"/>
  <c r="H641" i="1" s="1"/>
  <c r="I452" i="1"/>
  <c r="F460" i="1"/>
  <c r="F461" i="1" s="1"/>
  <c r="H639" i="1" s="1"/>
  <c r="G460" i="1"/>
  <c r="H460" i="1"/>
  <c r="I460" i="1"/>
  <c r="I461" i="1" s="1"/>
  <c r="H642" i="1" s="1"/>
  <c r="G461" i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3" i="1"/>
  <c r="G644" i="1"/>
  <c r="G645" i="1"/>
  <c r="G652" i="1"/>
  <c r="H652" i="1"/>
  <c r="G653" i="1"/>
  <c r="H653" i="1"/>
  <c r="G654" i="1"/>
  <c r="H654" i="1"/>
  <c r="H655" i="1"/>
  <c r="J655" i="1" s="1"/>
  <c r="C18" i="2"/>
  <c r="C26" i="10"/>
  <c r="L328" i="1"/>
  <c r="A31" i="12"/>
  <c r="C70" i="2"/>
  <c r="D62" i="2"/>
  <c r="D63" i="2" s="1"/>
  <c r="D18" i="13"/>
  <c r="C18" i="13" s="1"/>
  <c r="D17" i="13"/>
  <c r="C17" i="13" s="1"/>
  <c r="F78" i="2"/>
  <c r="F81" i="2" s="1"/>
  <c r="D50" i="2"/>
  <c r="G157" i="2"/>
  <c r="F18" i="2"/>
  <c r="E103" i="2"/>
  <c r="E62" i="2"/>
  <c r="E63" i="2" s="1"/>
  <c r="G62" i="2"/>
  <c r="D19" i="13"/>
  <c r="C19" i="13" s="1"/>
  <c r="E78" i="2"/>
  <c r="E81" i="2" s="1"/>
  <c r="H112" i="1"/>
  <c r="K605" i="1"/>
  <c r="G648" i="1" s="1"/>
  <c r="J571" i="1"/>
  <c r="K571" i="1"/>
  <c r="L419" i="1"/>
  <c r="D81" i="2"/>
  <c r="I169" i="1"/>
  <c r="H169" i="1"/>
  <c r="J140" i="1"/>
  <c r="G22" i="2"/>
  <c r="J552" i="1"/>
  <c r="H552" i="1"/>
  <c r="C29" i="10"/>
  <c r="H140" i="1"/>
  <c r="F22" i="13"/>
  <c r="C22" i="13" s="1"/>
  <c r="J640" i="1"/>
  <c r="H571" i="1"/>
  <c r="L560" i="1"/>
  <c r="G192" i="1"/>
  <c r="H192" i="1"/>
  <c r="C35" i="10"/>
  <c r="E16" i="13"/>
  <c r="C16" i="13" s="1"/>
  <c r="L570" i="1"/>
  <c r="J636" i="1"/>
  <c r="G36" i="2"/>
  <c r="K598" i="1" l="1"/>
  <c r="G647" i="1" s="1"/>
  <c r="G408" i="1"/>
  <c r="H645" i="1" s="1"/>
  <c r="L256" i="1"/>
  <c r="C91" i="2"/>
  <c r="L393" i="1"/>
  <c r="C138" i="2" s="1"/>
  <c r="I545" i="1"/>
  <c r="K545" i="1"/>
  <c r="I476" i="1"/>
  <c r="H625" i="1" s="1"/>
  <c r="J625" i="1" s="1"/>
  <c r="F192" i="1"/>
  <c r="C78" i="2"/>
  <c r="D31" i="2"/>
  <c r="J624" i="1"/>
  <c r="L270" i="1"/>
  <c r="C17" i="10"/>
  <c r="I571" i="1"/>
  <c r="G476" i="1"/>
  <c r="H623" i="1" s="1"/>
  <c r="J623" i="1" s="1"/>
  <c r="L433" i="1"/>
  <c r="G338" i="1"/>
  <c r="G352" i="1" s="1"/>
  <c r="E128" i="2"/>
  <c r="D91" i="2"/>
  <c r="E31" i="2"/>
  <c r="G662" i="1"/>
  <c r="J476" i="1"/>
  <c r="H626" i="1" s="1"/>
  <c r="I408" i="1"/>
  <c r="L565" i="1"/>
  <c r="L571" i="1" s="1"/>
  <c r="K551" i="1"/>
  <c r="I552" i="1"/>
  <c r="L539" i="1"/>
  <c r="G545" i="1"/>
  <c r="K550" i="1"/>
  <c r="J545" i="1"/>
  <c r="H545" i="1"/>
  <c r="L529" i="1"/>
  <c r="K549" i="1"/>
  <c r="F552" i="1"/>
  <c r="L524" i="1"/>
  <c r="J651" i="1"/>
  <c r="J649" i="1"/>
  <c r="L401" i="1"/>
  <c r="C139" i="2" s="1"/>
  <c r="J645" i="1"/>
  <c r="F476" i="1"/>
  <c r="H622" i="1" s="1"/>
  <c r="A40" i="12"/>
  <c r="A13" i="12"/>
  <c r="H662" i="1"/>
  <c r="G650" i="1"/>
  <c r="J650" i="1" s="1"/>
  <c r="D14" i="13"/>
  <c r="C14" i="13" s="1"/>
  <c r="C123" i="2"/>
  <c r="E13" i="13"/>
  <c r="C13" i="13" s="1"/>
  <c r="C122" i="2"/>
  <c r="C19" i="10"/>
  <c r="C120" i="2"/>
  <c r="E8" i="13"/>
  <c r="C8" i="13" s="1"/>
  <c r="L309" i="1"/>
  <c r="F338" i="1"/>
  <c r="F352" i="1" s="1"/>
  <c r="E110" i="2"/>
  <c r="H338" i="1"/>
  <c r="H352" i="1" s="1"/>
  <c r="C13" i="10"/>
  <c r="L290" i="1"/>
  <c r="J338" i="1"/>
  <c r="J352" i="1" s="1"/>
  <c r="E109" i="2"/>
  <c r="E134" i="2"/>
  <c r="K352" i="1"/>
  <c r="H25" i="13"/>
  <c r="C25" i="13" s="1"/>
  <c r="C132" i="2"/>
  <c r="H52" i="1"/>
  <c r="H619" i="1" s="1"/>
  <c r="K257" i="1"/>
  <c r="K271" i="1" s="1"/>
  <c r="J257" i="1"/>
  <c r="J271" i="1" s="1"/>
  <c r="C119" i="2"/>
  <c r="I257" i="1"/>
  <c r="I271" i="1" s="1"/>
  <c r="D7" i="13"/>
  <c r="C7" i="13" s="1"/>
  <c r="C21" i="10"/>
  <c r="C124" i="2"/>
  <c r="D15" i="13"/>
  <c r="C15" i="13" s="1"/>
  <c r="H647" i="1"/>
  <c r="J647" i="1" s="1"/>
  <c r="F662" i="1"/>
  <c r="I662" i="1" s="1"/>
  <c r="C16" i="10"/>
  <c r="L211" i="1"/>
  <c r="D6" i="13"/>
  <c r="C6" i="13" s="1"/>
  <c r="H257" i="1"/>
  <c r="H271" i="1" s="1"/>
  <c r="C118" i="2"/>
  <c r="C109" i="2"/>
  <c r="C20" i="10"/>
  <c r="G257" i="1"/>
  <c r="G271" i="1" s="1"/>
  <c r="C18" i="10"/>
  <c r="C121" i="2"/>
  <c r="L247" i="1"/>
  <c r="C110" i="2"/>
  <c r="D12" i="13"/>
  <c r="C12" i="13" s="1"/>
  <c r="F257" i="1"/>
  <c r="F271" i="1" s="1"/>
  <c r="L229" i="1"/>
  <c r="C112" i="2"/>
  <c r="C15" i="10"/>
  <c r="C11" i="10"/>
  <c r="C10" i="10"/>
  <c r="D5" i="13"/>
  <c r="C5" i="13" s="1"/>
  <c r="F112" i="1"/>
  <c r="C36" i="10" s="1"/>
  <c r="C62" i="2"/>
  <c r="J622" i="1"/>
  <c r="J617" i="1"/>
  <c r="J641" i="1"/>
  <c r="J639" i="1"/>
  <c r="L427" i="1"/>
  <c r="L434" i="1" s="1"/>
  <c r="G638" i="1" s="1"/>
  <c r="J638" i="1" s="1"/>
  <c r="H408" i="1"/>
  <c r="H644" i="1" s="1"/>
  <c r="J644" i="1" s="1"/>
  <c r="F408" i="1"/>
  <c r="H643" i="1" s="1"/>
  <c r="J643" i="1" s="1"/>
  <c r="D18" i="2"/>
  <c r="F661" i="1"/>
  <c r="D29" i="13"/>
  <c r="C29" i="13" s="1"/>
  <c r="D127" i="2"/>
  <c r="D128" i="2" s="1"/>
  <c r="D145" i="2" s="1"/>
  <c r="H661" i="1"/>
  <c r="G661" i="1"/>
  <c r="J634" i="1"/>
  <c r="C81" i="2"/>
  <c r="C56" i="2"/>
  <c r="G164" i="2"/>
  <c r="G161" i="2"/>
  <c r="K500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H33" i="13" l="1"/>
  <c r="L408" i="1"/>
  <c r="G637" i="1" s="1"/>
  <c r="J637" i="1" s="1"/>
  <c r="C141" i="2"/>
  <c r="C144" i="2" s="1"/>
  <c r="K552" i="1"/>
  <c r="L545" i="1"/>
  <c r="E33" i="13"/>
  <c r="D35" i="13" s="1"/>
  <c r="G660" i="1"/>
  <c r="G664" i="1" s="1"/>
  <c r="G672" i="1" s="1"/>
  <c r="C5" i="10" s="1"/>
  <c r="L338" i="1"/>
  <c r="L352" i="1" s="1"/>
  <c r="G633" i="1" s="1"/>
  <c r="J633" i="1" s="1"/>
  <c r="E115" i="2"/>
  <c r="E145" i="2" s="1"/>
  <c r="F660" i="1"/>
  <c r="F664" i="1" s="1"/>
  <c r="F672" i="1" s="1"/>
  <c r="C4" i="10" s="1"/>
  <c r="D31" i="13"/>
  <c r="C31" i="13" s="1"/>
  <c r="H648" i="1"/>
  <c r="J648" i="1" s="1"/>
  <c r="C128" i="2"/>
  <c r="L257" i="1"/>
  <c r="L271" i="1" s="1"/>
  <c r="G632" i="1" s="1"/>
  <c r="J632" i="1" s="1"/>
  <c r="C115" i="2"/>
  <c r="H660" i="1"/>
  <c r="H664" i="1" s="1"/>
  <c r="H667" i="1" s="1"/>
  <c r="C28" i="10"/>
  <c r="D22" i="10" s="1"/>
  <c r="F193" i="1"/>
  <c r="G627" i="1" s="1"/>
  <c r="J627" i="1" s="1"/>
  <c r="C63" i="2"/>
  <c r="C104" i="2" s="1"/>
  <c r="I661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D33" i="13"/>
  <c r="D36" i="13" s="1"/>
  <c r="C145" i="2"/>
  <c r="D23" i="10"/>
  <c r="I660" i="1"/>
  <c r="I664" i="1" s="1"/>
  <c r="I672" i="1" s="1"/>
  <c r="C7" i="10" s="1"/>
  <c r="D24" i="10"/>
  <c r="D27" i="10"/>
  <c r="D17" i="10"/>
  <c r="D10" i="10"/>
  <c r="C30" i="10"/>
  <c r="D20" i="10"/>
  <c r="D25" i="10"/>
  <c r="D13" i="10"/>
  <c r="D21" i="10"/>
  <c r="D18" i="10"/>
  <c r="D12" i="10"/>
  <c r="D26" i="10"/>
  <c r="D16" i="10"/>
  <c r="D15" i="10"/>
  <c r="D19" i="10"/>
  <c r="D11" i="10"/>
  <c r="F667" i="1"/>
  <c r="H672" i="1"/>
  <c r="C6" i="10" s="1"/>
  <c r="G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<sst xmlns="http://schemas.openxmlformats.org/spreadsheetml/2006/main" count="3986" uniqueCount="931">
  <si>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</si>
  <si>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</si>
  <si>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</si>
  <si>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</si>
  <si>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</si>
  <si>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</si>
  <si>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</si>
  <si>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</si>
  <si>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</si>
  <si>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</si>
  <si>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</si>
  <si>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</si>
  <si>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</si>
  <si>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</si>
  <si>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</si>
  <si>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</si>
  <si>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</si>
  <si>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</si>
  <si>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</si>
  <si>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</si>
  <si>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</si>
  <si>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</si>
  <si>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</si>
  <si>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</si>
  <si>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</si>
  <si>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</si>
  <si>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</si>
  <si>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</si>
  <si>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</si>
  <si>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</si>
  <si>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</si>
  <si>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</si>
  <si>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</si>
  <si>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</si>
  <si>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</si>
  <si>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</si>
  <si>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</si>
  <si>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</si>
  <si>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</si>
  <si>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</si>
  <si>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</si>
  <si>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</si>
  <si>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</si>
  <si>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</si>
  <si>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</si>
  <si>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</si>
  <si>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</si>
  <si>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</si>
  <si>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</si>
  <si>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</si>
  <si>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</si>
  <si>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</si>
  <si>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</si>
  <si>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</si>
  <si>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</si>
  <si>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</si>
  <si>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</si>
  <si>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</si>
  <si>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</si>
  <si>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</si>
  <si>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</si>
  <si>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</si>
  <si>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</si>
  <si>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</si>
  <si>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</si>
  <si>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</si>
  <si>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</si>
  <si>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</si>
  <si>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</si>
  <si>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</si>
  <si>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</si>
  <si>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</si>
  <si>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</si>
  <si>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</si>
  <si>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</si>
  <si>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</si>
  <si>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</si>
  <si>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</si>
  <si>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</si>
  <si>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</si>
  <si>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</si>
  <si>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</si>
  <si>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</si>
  <si>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</si>
  <si>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</si>
  <si>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</si>
  <si>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</si>
  <si>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</si>
  <si>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</si>
  <si>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</si>
  <si>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</si>
  <si>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</si>
  <si>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</si>
  <si>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</si>
  <si>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</si>
  <si>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</si>
  <si>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</si>
  <si>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</si>
  <si>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</si>
  <si>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</si>
  <si>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</si>
  <si>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</si>
  <si>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</si>
  <si>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</si>
  <si>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</si>
  <si>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</si>
  <si>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</si>
  <si>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</si>
  <si>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</si>
  <si>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</si>
  <si>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</si>
  <si>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</si>
  <si>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</si>
  <si>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</si>
  <si>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</si>
  <si>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</si>
  <si>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</si>
  <si>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</si>
  <si>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</si>
  <si>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</si>
  <si>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</si>
  <si>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</si>
  <si>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</si>
  <si>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</si>
  <si>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</si>
  <si>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</si>
  <si>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</si>
  <si>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</si>
  <si>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</si>
  <si>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</si>
  <si>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</si>
  <si>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</si>
  <si>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</si>
  <si>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</si>
  <si>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</si>
  <si>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</si>
  <si>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</si>
  <si>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</si>
  <si>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</si>
  <si>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</si>
  <si>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</si>
  <si>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</si>
  <si>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</si>
  <si>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</si>
  <si>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</si>
  <si>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</si>
  <si>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</si>
  <si>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</si>
  <si>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</si>
  <si>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</si>
  <si>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</si>
  <si>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</si>
  <si>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</si>
  <si>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</si>
  <si>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</si>
  <si>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</si>
  <si>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</si>
  <si>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</si>
  <si>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</si>
  <si>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</si>
  <si>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</si>
  <si>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</si>
  <si>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</si>
  <si>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</si>
  <si>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</si>
  <si>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</si>
  <si>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</si>
  <si>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</si>
  <si>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</si>
  <si>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</si>
  <si>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</si>
  <si>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</si>
  <si>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</si>
  <si>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</si>
  <si>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</si>
  <si>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</si>
  <si>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</si>
  <si>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</si>
  <si>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</si>
  <si>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</si>
  <si>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</si>
  <si>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</si>
  <si>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</si>
  <si>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</si>
  <si>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</si>
  <si>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</si>
  <si>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</si>
  <si>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</si>
  <si>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</si>
  <si>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</si>
  <si>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</si>
  <si>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</si>
  <si>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</si>
  <si>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</si>
  <si>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</si>
  <si>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</si>
  <si>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</si>
  <si>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</si>
  <si>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</si>
  <si>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</si>
  <si>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</si>
  <si>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</si>
  <si>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</si>
  <si>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</si>
  <si>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</si>
  <si>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</si>
  <si>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</si>
  <si>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</si>
  <si>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</si>
  <si>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</si>
  <si>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</si>
  <si>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</si>
  <si>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</si>
  <si>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</si>
  <si>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</si>
  <si>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</si>
  <si>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</si>
  <si>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</si>
  <si>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</si>
  <si>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</si>
  <si>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</si>
  <si>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</si>
  <si>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</si>
  <si>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</si>
  <si>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</si>
  <si>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</si>
  <si>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</si>
  <si>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</si>
  <si>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</si>
  <si>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</si>
  <si>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</si>
  <si>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</si>
  <si>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</si>
  <si>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</si>
  <si>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</si>
  <si>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</si>
  <si>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</si>
  <si>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</si>
  <si>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</si>
  <si>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</si>
  <si>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</si>
  <si>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</si>
  <si>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</si>
  <si>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</si>
  <si>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</si>
  <si>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</si>
  <si>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</si>
  <si>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</si>
  <si>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</si>
  <si>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</si>
  <si>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</si>
  <si>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</si>
  <si>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</si>
  <si>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</si>
  <si>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</si>
  <si>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</si>
  <si>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</si>
  <si>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</si>
  <si>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</si>
  <si>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</si>
  <si>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</si>
  <si>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</si>
  <si>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</si>
  <si>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</si>
  <si>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</si>
  <si>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</si>
  <si>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</si>
  <si>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</si>
  <si>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</si>
  <si>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</si>
  <si>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</si>
  <si>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</si>
  <si>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</si>
  <si>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</si>
  <si>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</si>
  <si>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</si>
  <si>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</si>
  <si>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</si>
  <si>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</si>
  <si>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</si>
  <si>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</si>
  <si>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</si>
  <si>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</si>
  <si>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</si>
  <si>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</si>
  <si>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</si>
  <si>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</si>
  <si>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</si>
  <si>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</si>
  <si>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</si>
  <si>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</si>
  <si>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</si>
  <si>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</si>
  <si>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</si>
  <si>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</si>
  <si>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</si>
  <si>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</si>
  <si>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</si>
  <si>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</si>
  <si>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</si>
  <si>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</si>
  <si>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</si>
  <si>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</si>
  <si>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</si>
  <si>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</si>
  <si>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</si>
  <si>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</si>
  <si>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</si>
  <si>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</si>
  <si>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</si>
  <si>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</si>
  <si>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</si>
  <si>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</si>
  <si>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</si>
  <si>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</si>
  <si>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</si>
  <si>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</si>
  <si>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</si>
  <si>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</si>
  <si>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</si>
  <si>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</si>
  <si>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</si>
  <si>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</si>
  <si>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</si>
  <si>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</si>
  <si>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</si>
  <si>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</si>
  <si>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</si>
  <si>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</si>
  <si>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</si>
  <si>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</si>
  <si>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</si>
  <si>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</si>
  <si>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</si>
  <si>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</si>
  <si>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</si>
  <si>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</si>
  <si>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</si>
  <si>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</si>
  <si>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</si>
  <si>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</si>
  <si>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</si>
  <si>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</si>
  <si>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</si>
  <si>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</si>
  <si>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</si>
  <si>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</si>
  <si>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</si>
  <si>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</si>
  <si>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</si>
  <si>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</si>
  <si>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</si>
  <si>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</si>
  <si>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</si>
  <si>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</si>
  <si>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</si>
  <si>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</si>
  <si>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</si>
  <si>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</si>
  <si>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</si>
  <si>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</si>
  <si>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</si>
  <si>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</si>
  <si>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</si>
  <si>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</si>
  <si>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</si>
  <si>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</si>
  <si>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</si>
  <si>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</si>
  <si>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</si>
  <si>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</si>
  <si>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</si>
  <si>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</si>
  <si>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</si>
  <si>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</si>
  <si>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</si>
  <si>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</si>
  <si>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</si>
  <si>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</si>
  <si>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</si>
  <si>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</si>
  <si>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</si>
  <si>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</si>
  <si>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</si>
  <si>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</si>
  <si>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</si>
  <si>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</si>
  <si>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</si>
  <si>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</si>
  <si>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</si>
  <si>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</si>
  <si>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</si>
  <si>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</si>
  <si>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</si>
  <si>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</si>
  <si>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</si>
  <si>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</si>
  <si>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</si>
  <si>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</si>
  <si>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</si>
  <si>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</si>
  <si>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</si>
  <si>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</si>
  <si>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</si>
  <si>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</si>
  <si>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</si>
  <si>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</si>
  <si>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</si>
  <si>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</si>
  <si>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</si>
  <si>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</si>
  <si>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</si>
  <si>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</si>
  <si>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</si>
  <si>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</si>
  <si>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</si>
  <si>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</si>
  <si>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</si>
  <si>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</si>
  <si>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</si>
  <si>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</si>
  <si>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</si>
  <si>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</si>
  <si>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</si>
  <si>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</si>
  <si>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</si>
  <si>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</si>
  <si>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</si>
  <si>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</si>
  <si>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</si>
  <si>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</si>
  <si>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</si>
  <si>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</si>
  <si>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</si>
  <si>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</si>
  <si>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</si>
  <si>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</si>
  <si>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</si>
  <si>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</si>
  <si>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</si>
  <si>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</si>
  <si>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</si>
  <si>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</si>
  <si>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</si>
  <si>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</si>
  <si>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</si>
  <si>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</si>
  <si>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</si>
  <si>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</si>
  <si>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</si>
  <si>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</si>
  <si>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</si>
  <si>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</si>
  <si>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</si>
  <si>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</si>
  <si>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</si>
  <si>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</si>
  <si>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</si>
  <si>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</si>
  <si>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</si>
  <si>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</si>
  <si>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</si>
  <si>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</si>
  <si>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</si>
  <si>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</si>
  <si>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</si>
  <si>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</si>
  <si>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</si>
  <si>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</si>
  <si>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</si>
  <si>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</si>
  <si>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</si>
  <si>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</si>
  <si>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</si>
  <si>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</si>
  <si>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</si>
  <si>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</si>
  <si>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</si>
  <si>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</si>
  <si>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</si>
  <si>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</si>
  <si>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</si>
  <si>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</si>
  <si>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</si>
  <si>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</si>
  <si>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</si>
  <si>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</si>
  <si>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</si>
  <si>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</si>
  <si>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</si>
  <si>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</si>
  <si>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</si>
  <si>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</si>
  <si>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</si>
  <si>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</si>
  <si>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</si>
  <si>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</si>
  <si>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</si>
  <si>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</si>
  <si>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</si>
  <si>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</si>
  <si>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</si>
  <si>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</si>
  <si>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</si>
  <si>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</si>
  <si>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</si>
  <si>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</si>
  <si>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</si>
  <si>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</si>
  <si>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</si>
  <si>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</si>
  <si>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</si>
  <si>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</si>
  <si>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</si>
  <si>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</si>
  <si>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</si>
  <si>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</si>
  <si>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</si>
  <si>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</si>
  <si>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</si>
  <si>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</si>
  <si>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</si>
  <si>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</si>
  <si>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</si>
  <si>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</si>
  <si>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</si>
  <si>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</si>
  <si>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</si>
  <si>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</si>
  <si>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</si>
  <si>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</si>
  <si>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</si>
  <si>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</si>
  <si>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</si>
  <si>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</si>
  <si>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</si>
  <si>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</si>
  <si>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</si>
  <si>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</si>
  <si>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</si>
  <si>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</si>
  <si>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</si>
  <si>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</si>
  <si>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</si>
  <si>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</si>
  <si>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</si>
  <si>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</si>
  <si>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</si>
  <si>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</si>
  <si>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</si>
  <si>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</si>
  <si>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</si>
  <si>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</si>
  <si>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</si>
  <si>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</si>
  <si>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</si>
  <si>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</si>
  <si>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</si>
  <si>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</si>
  <si>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</si>
  <si>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</si>
  <si>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</si>
  <si>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</si>
  <si>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</si>
  <si>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</si>
  <si>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</si>
  <si>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</si>
  <si>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</si>
  <si>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</si>
  <si>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</si>
  <si>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</si>
  <si>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</si>
  <si>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</si>
  <si>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</si>
  <si>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</si>
  <si>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</si>
  <si>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</si>
  <si>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</si>
  <si>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</si>
  <si>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</si>
  <si>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</si>
  <si>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</si>
  <si>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</si>
  <si>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</si>
  <si>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</si>
  <si>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</si>
  <si>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</si>
  <si>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</si>
  <si>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</si>
  <si>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</si>
  <si>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</si>
  <si>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</si>
  <si>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</si>
  <si>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</si>
  <si>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</si>
  <si>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</si>
  <si>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</si>
  <si>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</si>
  <si>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</si>
  <si>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</si>
  <si>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</si>
  <si>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</si>
  <si>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</si>
  <si>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</si>
  <si>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</si>
  <si>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</si>
  <si>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</si>
  <si>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</si>
  <si>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</si>
  <si>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</si>
  <si>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</si>
  <si>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</si>
  <si>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</si>
  <si>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</si>
  <si>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</si>
  <si>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</si>
  <si>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</si>
  <si>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</si>
  <si>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</si>
  <si>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</si>
  <si>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</si>
  <si>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</si>
  <si>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</si>
  <si>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</si>
  <si>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</si>
  <si>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</si>
  <si>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</si>
  <si>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</si>
  <si>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</si>
  <si>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</si>
  <si>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</si>
  <si>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</si>
  <si>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</si>
  <si>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</si>
  <si>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</si>
  <si>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</si>
  <si>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</si>
  <si>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</si>
  <si>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</si>
  <si>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</si>
  <si>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</si>
  <si>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</si>
  <si>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</si>
  <si>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</si>
  <si>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</si>
  <si>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</si>
  <si>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</si>
  <si>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</si>
  <si>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</si>
  <si>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</si>
  <si>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</si>
  <si>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</si>
  <si>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</si>
  <si>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</si>
  <si>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</si>
  <si>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</si>
  <si>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</si>
  <si>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</si>
  <si>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</si>
  <si>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</si>
  <si>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</si>
  <si>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</si>
  <si>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</si>
  <si>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</si>
  <si>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</si>
  <si>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</si>
  <si>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</si>
  <si>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</si>
  <si>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</si>
  <si>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</si>
  <si>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</si>
  <si>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</si>
  <si>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</si>
  <si>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</si>
  <si>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</si>
  <si>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</si>
  <si>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</si>
  <si>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</si>
  <si>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</si>
  <si>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</si>
  <si>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</si>
  <si>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</si>
  <si>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</si>
  <si>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</si>
  <si>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</si>
  <si>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</si>
  <si>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</si>
  <si>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</si>
  <si>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</si>
  <si>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</si>
  <si>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</si>
  <si>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</si>
  <si>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</si>
  <si>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</si>
  <si>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</si>
  <si>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</si>
  <si>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</si>
  <si>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</si>
  <si>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</si>
  <si>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</si>
  <si>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</si>
  <si>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</si>
  <si>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</si>
  <si>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</si>
  <si>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</si>
  <si>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</si>
  <si>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</si>
  <si>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</si>
  <si>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</si>
  <si>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</si>
  <si>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</si>
  <si>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</si>
  <si>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</si>
  <si>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</si>
  <si>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</si>
  <si>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</si>
  <si>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</si>
  <si>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</si>
  <si>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</si>
  <si>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</si>
  <si>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</si>
  <si>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</si>
  <si>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</si>
  <si>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</si>
  <si>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</si>
  <si>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</si>
  <si>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</si>
  <si>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</si>
  <si>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</si>
  <si>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</si>
  <si>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</si>
  <si>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</si>
  <si>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</si>
  <si>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</si>
  <si>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</si>
  <si>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</si>
  <si>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</si>
  <si>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</si>
  <si>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</si>
  <si>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</si>
  <si>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</si>
  <si>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</si>
  <si>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</si>
  <si>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</si>
  <si>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</si>
  <si>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</si>
  <si>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</si>
  <si>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</si>
  <si>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</si>
  <si>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</si>
  <si>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</si>
  <si>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</si>
  <si>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</si>
  <si>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</si>
  <si>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</si>
  <si>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</si>
  <si>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</si>
  <si>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</si>
  <si>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</si>
  <si>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</si>
  <si>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</si>
  <si>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</si>
  <si>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</si>
  <si>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</si>
  <si>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</si>
  <si>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</si>
  <si>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</si>
  <si>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</si>
  <si>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</si>
  <si>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</si>
  <si>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</si>
  <si>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</si>
  <si>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</si>
  <si>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</si>
  <si>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</si>
  <si>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</si>
  <si>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</si>
  <si>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</si>
  <si>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</si>
  <si>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</si>
  <si>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</si>
  <si>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</si>
  <si>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</si>
  <si>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</si>
  <si>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</si>
  <si>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</si>
  <si>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</si>
  <si>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</si>
  <si>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</si>
  <si>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</si>
  <si>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</si>
  <si>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</si>
  <si>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</si>
  <si>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</si>
  <si>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</si>
  <si>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</si>
  <si>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</si>
  <si>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</si>
  <si>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</si>
  <si>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</si>
  <si>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</si>
  <si>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</si>
  <si>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</si>
  <si>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</si>
  <si>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</si>
  <si>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</si>
  <si>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</si>
  <si>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</si>
  <si>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</si>
  <si>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</si>
  <si>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</si>
  <si>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</si>
  <si>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</si>
  <si>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</si>
  <si>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</si>
  <si>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</si>
  <si>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</si>
  <si>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</si>
  <si>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</si>
  <si>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</si>
  <si>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</si>
  <si>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</si>
  <si>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</si>
  <si>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</si>
  <si>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</si>
  <si>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</si>
  <si>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</si>
  <si>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</si>
  <si>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</si>
  <si>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</si>
  <si>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</si>
  <si>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</si>
  <si>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</si>
  <si>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</si>
  <si>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</si>
  <si>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</si>
  <si>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</si>
  <si>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</si>
  <si>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</si>
  <si>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</si>
  <si>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</si>
  <si>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</si>
  <si>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</si>
  <si>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</si>
  <si>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</si>
  <si>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</si>
  <si>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</si>
  <si>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</si>
  <si>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</si>
  <si>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</si>
  <si>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</si>
  <si>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</si>
  <si>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</si>
  <si>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</si>
  <si>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</si>
  <si>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</si>
  <si>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</si>
  <si>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</si>
  <si>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</si>
  <si>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</si>
  <si>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</si>
  <si>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</si>
  <si>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</si>
  <si>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</si>
  <si>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</si>
  <si>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</si>
  <si>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</si>
  <si>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</si>
  <si>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</si>
  <si>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</si>
  <si>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</si>
  <si>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</si>
  <si>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</si>
  <si>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</si>
  <si>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</si>
  <si>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</si>
  <si>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</si>
  <si>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</si>
  <si>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</si>
  <si>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</si>
  <si>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</si>
  <si>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</si>
  <si>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</si>
  <si>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</si>
  <si>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</si>
  <si>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</si>
  <si>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</si>
  <si>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</si>
  <si>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</si>
  <si>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</si>
  <si>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</si>
  <si>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</si>
  <si>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</si>
  <si>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</si>
  <si>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</si>
  <si>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</si>
  <si>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</si>
  <si>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</si>
  <si>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</si>
  <si>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</si>
  <si>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</si>
  <si>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</si>
  <si>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</si>
  <si>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</si>
  <si>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</si>
  <si>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</si>
  <si>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</si>
  <si>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</si>
  <si>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</si>
  <si>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</si>
  <si>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</si>
  <si>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</si>
  <si>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RAYMOND SCHOOL DISTRICT</t>
  </si>
  <si>
    <t>8/05</t>
  </si>
  <si>
    <t>8/14</t>
  </si>
  <si>
    <t>8/25</t>
  </si>
  <si>
    <t>8/24</t>
  </si>
  <si>
    <t>Other Assessments from Local Sources of $16,845.00 are Impact Fees received from the Town of Raymond</t>
  </si>
  <si>
    <t>Other Restricted State Aid of $10,077.42 is Differentiated Charter School Aid</t>
  </si>
  <si>
    <t>Scholarship Funds</t>
  </si>
  <si>
    <t>Other General Fund Revenues from Local Sources of $25,337.53 are Net Surplus refunds received from SchoolCare</t>
  </si>
  <si>
    <t>Other Food Service Revenues from Local Sources of $13,500.40 are Catering Sales</t>
  </si>
  <si>
    <t>Transfers from Special Revenue Fund of $19,333.73 are Indirect Costs charged to Grants</t>
  </si>
  <si>
    <t>$6,892.91 expenditure is for engineering study evaluating feasibility of connecting High School to Town's water main</t>
  </si>
  <si>
    <t>Other Expendable Funds Property of $5,345.00 is for Food Service equipment purchases</t>
  </si>
  <si>
    <t>Other Transportation cost of $44,611.11 is for Homeless Transportation</t>
  </si>
  <si>
    <t>Fund Transfers to General Fund of $19,333.73 are Indirect Costs charged to Grants</t>
  </si>
  <si>
    <t>High School Regular Program Tuition to LEAs within NH of $545.00 is for Exeter Adult Education</t>
  </si>
  <si>
    <t>High School Special Program Tuition to LEAs within NH of $450.00 is for Exeter Adult Education</t>
  </si>
  <si>
    <t>Other Trust Deletion of $21,740.37 is Transfer of Guptil Scholarship Fund to University of New Hampshire Foundation</t>
  </si>
  <si>
    <t>Transfer of Guptil Scholarship Fund to UNH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</si>
</sst>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453</v>
      </c>
      <c r="C2" s="21">
        <v>453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1713443.42+100</f>
        <v>1713543.42</v>
      </c>
      <c r="G9" s="18">
        <v>100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652193.05000000005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154709.48000000001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16922.53</v>
      </c>
      <c r="H13" s="18">
        <v>149226.64000000001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2542.41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1870795.3099999998</v>
      </c>
      <c r="G19" s="41">
        <f>SUM(G9:G18)</f>
        <v>17022.53</v>
      </c>
      <c r="H19" s="41">
        <f>SUM(H9:H18)</f>
        <v>149226.64000000001</v>
      </c>
      <c r="I19" s="41">
        <f>SUM(I9:I18)</f>
        <v>0</v>
      </c>
      <c r="J19" s="41">
        <f>SUM(J9:J18)</f>
        <v>652193.05000000005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7732.84</v>
      </c>
      <c r="H22" s="18">
        <v>146976.64000000001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214880.9+393016.91</f>
        <v>607897.80999999994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87159.48</f>
        <v>87159.48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724.33+4365.77+70780.15+11155.15</f>
        <v>87025.4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f>9289.69</f>
        <v>9289.69</v>
      </c>
      <c r="H30" s="18">
        <v>2250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782082.69</v>
      </c>
      <c r="G32" s="41">
        <f>SUM(G22:G31)</f>
        <v>17022.53</v>
      </c>
      <c r="H32" s="41">
        <f>SUM(H22:H31)</f>
        <v>149226.64000000001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175000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652193.05000000005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28078.67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1010633.95-175000</f>
        <v>835633.95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1088712.6199999999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652193.05000000005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1870795.3099999998</v>
      </c>
      <c r="G52" s="41">
        <f>G51+G32</f>
        <v>17022.53</v>
      </c>
      <c r="H52" s="41">
        <f>H51+H32</f>
        <v>149226.64000000001</v>
      </c>
      <c r="I52" s="41">
        <f>I51+I32</f>
        <v>0</v>
      </c>
      <c r="J52" s="41">
        <f>J51+J32</f>
        <v>652193.05000000005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13196655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16845</v>
      </c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13213500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13422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5350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14552.67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33324.67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 t="s">
        <v>286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170.55</v>
      </c>
      <c r="G96" s="18"/>
      <c r="H96" s="18"/>
      <c r="I96" s="18"/>
      <c r="J96" s="18">
        <v>14276.95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265128.68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f>58866+1239</f>
        <v>60105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 t="s">
        <v>286</v>
      </c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1590.23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f>10.68+121.21+0.84</f>
        <v>132.72999999999999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25337.53</v>
      </c>
      <c r="G110" s="18">
        <v>13500.4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87336.040000000008</v>
      </c>
      <c r="G111" s="41">
        <f>SUM(G96:G110)</f>
        <v>278629.08</v>
      </c>
      <c r="H111" s="41">
        <f>SUM(H96:H110)</f>
        <v>0</v>
      </c>
      <c r="I111" s="41">
        <f>SUM(I96:I110)</f>
        <v>0</v>
      </c>
      <c r="J111" s="41">
        <f>SUM(J96:J110)</f>
        <v>14276.95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13334160.709999999</v>
      </c>
      <c r="G112" s="41">
        <f>G60+G111</f>
        <v>278629.08</v>
      </c>
      <c r="H112" s="41">
        <f>H60+H79+H94+H111</f>
        <v>0</v>
      </c>
      <c r="I112" s="41">
        <f>I60+I111</f>
        <v>0</v>
      </c>
      <c r="J112" s="41">
        <f>J60+J111</f>
        <v>14276.95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5582301.1100000003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1957535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10077.42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7549913.5300000003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356923.36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336508.67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18589.2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7130.9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712021.23</v>
      </c>
      <c r="G136" s="41">
        <f>SUM(G123:G135)</f>
        <v>7130.9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8261934.7599999998</v>
      </c>
      <c r="G140" s="41">
        <f>G121+SUM(G136:G137)</f>
        <v>7130.9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8170.34+249008.17</f>
        <v>257178.51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11903.87+2240.23+30706.69+21831.99</f>
        <v>66682.78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205050.04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425032.52+8241</f>
        <v>433273.52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315372.82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315372.82</v>
      </c>
      <c r="G162" s="41">
        <f>SUM(G150:G161)</f>
        <v>205050.04</v>
      </c>
      <c r="H162" s="41">
        <f>SUM(H150:H161)</f>
        <v>757134.81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315372.82</v>
      </c>
      <c r="G169" s="41">
        <f>G147+G162+SUM(G163:G168)</f>
        <v>205050.04</v>
      </c>
      <c r="H169" s="41">
        <f>H147+H162+SUM(H163:H168)</f>
        <v>757134.81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38295.78</v>
      </c>
      <c r="H179" s="18"/>
      <c r="I179" s="18"/>
      <c r="J179" s="18">
        <v>214000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19333.73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19333.73</v>
      </c>
      <c r="G183" s="41">
        <f>SUM(G179:G182)</f>
        <v>38295.78</v>
      </c>
      <c r="H183" s="41">
        <f>SUM(H179:H182)</f>
        <v>0</v>
      </c>
      <c r="I183" s="41">
        <f>SUM(I179:I182)</f>
        <v>0</v>
      </c>
      <c r="J183" s="41">
        <f>SUM(J179:J182)</f>
        <v>214000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19333.73</v>
      </c>
      <c r="G192" s="41">
        <f>G183+SUM(G188:G191)</f>
        <v>38295.78</v>
      </c>
      <c r="H192" s="41">
        <f>+H183+SUM(H188:H191)</f>
        <v>0</v>
      </c>
      <c r="I192" s="41">
        <f>I177+I183+SUM(I188:I191)</f>
        <v>0</v>
      </c>
      <c r="J192" s="41">
        <f>J183</f>
        <v>214000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21930802.02</v>
      </c>
      <c r="G193" s="47">
        <f>G112+G140+G169+G192</f>
        <v>529105.80000000005</v>
      </c>
      <c r="H193" s="47">
        <f>H112+H140+H169+H192</f>
        <v>757134.81</v>
      </c>
      <c r="I193" s="47">
        <f>I112+I140+I169+I192</f>
        <v>0</v>
      </c>
      <c r="J193" s="47">
        <f>J112+J140+J192</f>
        <v>228276.95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35614+59367+35116+61342+1383401.47+49805.66+89716+59774.76</f>
        <v>1774136.89</v>
      </c>
      <c r="G197" s="18">
        <f>6658.62+469.3+48.1+2705.88+5580.64+16559.92+802.36+48.1+4454.31+9302.79+7990.32+563.16+48.1+2661.6+5502.62+1356.94+48.1+4577.29+9612.23+277672.54+20293.28+1392.53+106460.3+216777.65+15980.38+802.36+96.2+6798.49+14058.48+88064.52</f>
        <v>827387.10999999987</v>
      </c>
      <c r="H197" s="18">
        <f>26250+98.8+15294.47</f>
        <v>41643.269999999997</v>
      </c>
      <c r="I197" s="18">
        <f>1473.89+5260.74+250+10000+461.06+1056.79+800+37913.78+1200+1500+993.26</f>
        <v>60909.520000000004</v>
      </c>
      <c r="J197" s="18">
        <f>200+4088.76+899.82+1994.43</f>
        <v>7183.01</v>
      </c>
      <c r="K197" s="18"/>
      <c r="L197" s="19">
        <f>SUM(F197:K197)</f>
        <v>2711259.8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390087.53+35030+56813.9+241938.85+35614+36263.66</f>
        <v>795747.94000000006</v>
      </c>
      <c r="G198" s="18">
        <f>346443.58+464.14+25535.17+21573.64+47.96+2505.14+5489.23+18362.68+2107.56+144.04+149.4+4100.13+8902.66+50089.47+3305.53+192.26+18030.58+37911.76+21573.5+1356.94+48.1+2606.5+5580.64+14239.81</f>
        <v>590760.42000000004</v>
      </c>
      <c r="H198" s="18">
        <f>47834.89+42828+344505.45</f>
        <v>435168.34</v>
      </c>
      <c r="I198" s="18">
        <f>1500.27+1520.62+1370.25</f>
        <v>4391.1399999999994</v>
      </c>
      <c r="J198" s="18">
        <f>830+698.73</f>
        <v>1528.73</v>
      </c>
      <c r="K198" s="18">
        <f>9163.18</f>
        <v>9163.18</v>
      </c>
      <c r="L198" s="19">
        <f>SUM(F198:K198)</f>
        <v>1836759.75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5754+15788.69+16724.85+33998.21</f>
        <v>72265.75</v>
      </c>
      <c r="G200" s="18">
        <f>440.21+433.12+2487.49+14308.29</f>
        <v>17669.11</v>
      </c>
      <c r="H200" s="18">
        <f>15472.93</f>
        <v>15472.93</v>
      </c>
      <c r="I200" s="18">
        <f>7682.64</f>
        <v>7682.64</v>
      </c>
      <c r="J200" s="18"/>
      <c r="K200" s="18"/>
      <c r="L200" s="19">
        <f>SUM(F200:K200)</f>
        <v>113090.43000000001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100068+38437.88+17470.09+108128+7024.02+28491.73</f>
        <v>299619.71999999997</v>
      </c>
      <c r="G202" s="18">
        <f>22639+1365.52+96.2+7364.3+15680.6+9439.25+2107.56+129.55+103.74+4125.01+6023.16+358+52030.92+2717.19+104.9+8424.08+16943.46+16219.39</f>
        <v>165871.82999999996</v>
      </c>
      <c r="H202" s="18">
        <f>202+1000</f>
        <v>1202</v>
      </c>
      <c r="I202" s="18">
        <f>197.93+1494.73+1556+2275.94</f>
        <v>5524.6</v>
      </c>
      <c r="J202" s="18"/>
      <c r="K202" s="18"/>
      <c r="L202" s="19">
        <f t="shared" ref="L202:L208" si="0">SUM(F202:K202)</f>
        <v>472218.14999999991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52502+55090.67</f>
        <v>107592.67</v>
      </c>
      <c r="G203" s="18">
        <f>15980.36+802.34+47.96+3951.65+8227.13+21553.18</f>
        <v>50562.62</v>
      </c>
      <c r="H203" s="18">
        <f>11409.49+3453.06+14308.14</f>
        <v>29170.69</v>
      </c>
      <c r="I203" s="18">
        <f>600.99+3939.4+1000+7273+152+808.51+8666.23+1522.45+5853.4</f>
        <v>29815.979999999996</v>
      </c>
      <c r="J203" s="18">
        <f>5781.36+6576.05+3647.97</f>
        <v>16005.38</v>
      </c>
      <c r="K203" s="18"/>
      <c r="L203" s="19">
        <f t="shared" si="0"/>
        <v>233147.34000000003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161049.19</f>
        <v>161049.19</v>
      </c>
      <c r="G204" s="18">
        <f>71873.33</f>
        <v>71873.33</v>
      </c>
      <c r="H204" s="18">
        <f>43557.32</f>
        <v>43557.32</v>
      </c>
      <c r="I204" s="18">
        <f>6411.92</f>
        <v>6411.92</v>
      </c>
      <c r="J204" s="18"/>
      <c r="K204" s="18">
        <f>8975.02</f>
        <v>8975.02</v>
      </c>
      <c r="L204" s="19">
        <f t="shared" si="0"/>
        <v>291866.78000000003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73294.25+158946.3+15000</f>
        <v>247240.55</v>
      </c>
      <c r="G205" s="18">
        <f>93710.5+4777.26+334.2+375.54+16930.46+8094.65+24918.99+1081+1146.6+2350.92</f>
        <v>153720.12</v>
      </c>
      <c r="H205" s="18">
        <f>1350+568+15903.42+9127.11+2801.5+700+302.64</f>
        <v>30752.67</v>
      </c>
      <c r="I205" s="18">
        <f>742.5</f>
        <v>742.5</v>
      </c>
      <c r="J205" s="18"/>
      <c r="K205" s="18">
        <f>1215</f>
        <v>1215</v>
      </c>
      <c r="L205" s="19">
        <f t="shared" si="0"/>
        <v>433670.83999999997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57779.76</f>
        <v>57779.76</v>
      </c>
      <c r="G206" s="18">
        <f>20751.21</f>
        <v>20751.21</v>
      </c>
      <c r="H206" s="18">
        <f>2176.89</f>
        <v>2176.89</v>
      </c>
      <c r="I206" s="18"/>
      <c r="J206" s="18"/>
      <c r="K206" s="18">
        <f>621.44+1452.61</f>
        <v>2074.0500000000002</v>
      </c>
      <c r="L206" s="19">
        <f t="shared" si="0"/>
        <v>82781.91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114399.8+80298.02</f>
        <v>194697.82</v>
      </c>
      <c r="G207" s="18">
        <f>56427.68+1788.67+78.21+7986.11+12235.37+25899.35</f>
        <v>104415.38999999998</v>
      </c>
      <c r="H207" s="18">
        <f>7720+3731.8+31811.32+26995.41+36000+4200.5+6159.66+41862.31</f>
        <v>158481</v>
      </c>
      <c r="I207" s="18">
        <f>21485.74+9801.67+58442.53+23263.08+584.68+3500.67</f>
        <v>117078.37</v>
      </c>
      <c r="J207" s="18">
        <f>4549.99</f>
        <v>4549.99</v>
      </c>
      <c r="K207" s="18"/>
      <c r="L207" s="19">
        <f t="shared" si="0"/>
        <v>579222.56999999995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3615.42+151492+60621.82+66710.07+14870.37</f>
        <v>297309.68000000005</v>
      </c>
      <c r="I208" s="18"/>
      <c r="J208" s="18"/>
      <c r="K208" s="18"/>
      <c r="L208" s="19">
        <f t="shared" si="0"/>
        <v>297309.68000000005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f>889.3</f>
        <v>889.3</v>
      </c>
      <c r="I209" s="18"/>
      <c r="J209" s="18"/>
      <c r="K209" s="18"/>
      <c r="L209" s="19">
        <f>SUM(F209:K209)</f>
        <v>889.3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3710130.2899999991</v>
      </c>
      <c r="G211" s="41">
        <f t="shared" si="1"/>
        <v>2003011.14</v>
      </c>
      <c r="H211" s="41">
        <f t="shared" si="1"/>
        <v>1055824.0900000001</v>
      </c>
      <c r="I211" s="41">
        <f t="shared" si="1"/>
        <v>232556.66999999998</v>
      </c>
      <c r="J211" s="41">
        <f t="shared" si="1"/>
        <v>29267.11</v>
      </c>
      <c r="K211" s="41">
        <f t="shared" si="1"/>
        <v>21427.25</v>
      </c>
      <c r="L211" s="41">
        <f t="shared" si="1"/>
        <v>7052216.5499999989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1517595.1+16212.73+62645.62+64454+47889.52</f>
        <v>1708796.9700000002</v>
      </c>
      <c r="G215" s="18">
        <f>384206.14+25697.54+1480.37+117796.76+238031.14+15980.38+802.36+48.1+4661.28+10099.96+70554.32</f>
        <v>869358.34999999986</v>
      </c>
      <c r="H215" s="18">
        <f>750+400+495.72+656+100+12253.42</f>
        <v>14655.14</v>
      </c>
      <c r="I215" s="18">
        <f>3984.95+1244.64+1088.06+19.49+762.06+3150.11+3759.61+1137.15+745.12+1550.46+970.86+2099.58+18.59+25046.22+186</f>
        <v>45762.900000000009</v>
      </c>
      <c r="J215" s="18">
        <f>179.68+718+295.49+427.01+4838.17+3789.32+650.62</f>
        <v>10898.29</v>
      </c>
      <c r="K215" s="18"/>
      <c r="L215" s="19">
        <f>SUM(F215:K215)</f>
        <v>2649471.6500000004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271695.91+158017.36+69806.88+29195.32</f>
        <v>528715.47</v>
      </c>
      <c r="G216" s="18">
        <f>226200.16+316.69+17835.96+48619.07+4403.49+184.15+11554.03+24761.25+18507.62+2107.56+144.04+184.5+4974.04+10938.72+11464.26</f>
        <v>382195.54</v>
      </c>
      <c r="H216" s="18">
        <f>2328.75+398941.77+277356.08</f>
        <v>678626.60000000009</v>
      </c>
      <c r="I216" s="18">
        <f>1696.89+1103.16</f>
        <v>2800.05</v>
      </c>
      <c r="J216" s="18">
        <f>415+562.53</f>
        <v>977.53</v>
      </c>
      <c r="K216" s="18">
        <f>7377.14</f>
        <v>7377.14</v>
      </c>
      <c r="L216" s="19">
        <f>SUM(F216:K216)</f>
        <v>1600692.33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25997.56+1720+2343.75+931.5+8368.79</f>
        <v>39361.600000000006</v>
      </c>
      <c r="G218" s="18">
        <f>1988.67+2603.44+131.58+269.52+250.49+356.64+3522.04</f>
        <v>9122.380000000001</v>
      </c>
      <c r="H218" s="18">
        <f>6493+3808.72</f>
        <v>10301.719999999999</v>
      </c>
      <c r="I218" s="18">
        <f>444.3+1159.63+1891.11</f>
        <v>3495.04</v>
      </c>
      <c r="J218" s="18"/>
      <c r="K218" s="18"/>
      <c r="L218" s="19">
        <f>SUM(F218:K218)</f>
        <v>62280.740000000013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168585+41626+17681.83+22938.26</f>
        <v>250831.09000000003</v>
      </c>
      <c r="G220" s="18">
        <f>47941.14+2407.08+144.3+12178.4+26417.29+33077.97+1195.22+137.35+112.32+4213.24+6522.88+382.55+13057.98</f>
        <v>147787.72000000003</v>
      </c>
      <c r="H220" s="18">
        <f>130.57</f>
        <v>130.57</v>
      </c>
      <c r="I220" s="18">
        <f>171.99+1311.53+1493.34+45+1832.32</f>
        <v>4854.1799999999994</v>
      </c>
      <c r="J220" s="18"/>
      <c r="K220" s="18"/>
      <c r="L220" s="19">
        <f t="shared" ref="L220:L226" si="2">SUM(F220:K220)</f>
        <v>403603.56000000006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35614+44136.79</f>
        <v>79750.790000000008</v>
      </c>
      <c r="G221" s="18">
        <f>7990.32+563.16+48.1+2702.18+5580.64+17267.68</f>
        <v>34152.080000000002</v>
      </c>
      <c r="H221" s="18">
        <f>6442.9+1655.14+11463.19</f>
        <v>19561.23</v>
      </c>
      <c r="I221" s="18">
        <f>793.6+5888.38+451.45+2367.5+200+16689.23+1995.29+4689.55</f>
        <v>33075</v>
      </c>
      <c r="J221" s="18">
        <f>6762.86+8454.8+2922.63</f>
        <v>18140.29</v>
      </c>
      <c r="K221" s="18"/>
      <c r="L221" s="19">
        <f t="shared" si="2"/>
        <v>184679.39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129027.18</f>
        <v>129027.18</v>
      </c>
      <c r="G222" s="18">
        <f>57582.49</f>
        <v>57582.49</v>
      </c>
      <c r="H222" s="18">
        <f>34896.66</f>
        <v>34896.660000000003</v>
      </c>
      <c r="I222" s="18">
        <f>5137.01</f>
        <v>5137.01</v>
      </c>
      <c r="J222" s="18"/>
      <c r="K222" s="18">
        <f>7190.48</f>
        <v>7190.48</v>
      </c>
      <c r="L222" s="19">
        <f t="shared" si="2"/>
        <v>233833.82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89168.76+157332.27+12500</f>
        <v>259001.02999999997</v>
      </c>
      <c r="G223" s="18">
        <f>78716.04+3055+346.6+377.29+17811.91+9972.03+24689.43+955.5+1959.1</f>
        <v>137882.9</v>
      </c>
      <c r="H223" s="18">
        <f>149.71+1553.57+718+15935.74+7510.52+2700.95+922.44+25.41</f>
        <v>29516.34</v>
      </c>
      <c r="I223" s="18">
        <f>1570.49</f>
        <v>1570.49</v>
      </c>
      <c r="J223" s="18"/>
      <c r="K223" s="18">
        <f>1090</f>
        <v>1090</v>
      </c>
      <c r="L223" s="19">
        <f t="shared" si="2"/>
        <v>429060.75999999995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46291.19</f>
        <v>46291.19</v>
      </c>
      <c r="G224" s="18">
        <f>16625.18</f>
        <v>16625.18</v>
      </c>
      <c r="H224" s="18">
        <f>1744.05</f>
        <v>1744.05</v>
      </c>
      <c r="I224" s="18"/>
      <c r="J224" s="18"/>
      <c r="K224" s="18">
        <f>497.87+1163.79</f>
        <v>1661.6599999999999</v>
      </c>
      <c r="L224" s="19">
        <f t="shared" si="2"/>
        <v>66322.080000000002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144583.08+64332.06</f>
        <v>208915.13999999998</v>
      </c>
      <c r="G225" s="18">
        <f>75583.56+2700.16+93.3+10035.76+15638.53+20749.68</f>
        <v>124800.98999999999</v>
      </c>
      <c r="H225" s="18">
        <f>5170+1920.4+29929.4+23522.43+6149.5+6570.27+33538.67</f>
        <v>106800.67000000001</v>
      </c>
      <c r="I225" s="18">
        <f>23871.71+90182.15+34421.17+5584+601.92+2804.62</f>
        <v>157465.56999999998</v>
      </c>
      <c r="J225" s="18">
        <f>3645.3</f>
        <v>3645.3</v>
      </c>
      <c r="K225" s="18"/>
      <c r="L225" s="19">
        <f t="shared" si="2"/>
        <v>601627.67000000004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5879.11+3808.96+151492+48497.45+15513.97+14870.37</f>
        <v>240061.86000000002</v>
      </c>
      <c r="I226" s="18"/>
      <c r="J226" s="18"/>
      <c r="K226" s="18"/>
      <c r="L226" s="19">
        <f t="shared" si="2"/>
        <v>240061.86000000002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f>712.48</f>
        <v>712.48</v>
      </c>
      <c r="I227" s="18"/>
      <c r="J227" s="18"/>
      <c r="K227" s="18"/>
      <c r="L227" s="19">
        <f>SUM(F227:K227)</f>
        <v>712.48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3250690.4600000004</v>
      </c>
      <c r="G229" s="41">
        <f>SUM(G215:G228)</f>
        <v>1779507.6299999997</v>
      </c>
      <c r="H229" s="41">
        <f>SUM(H215:H228)</f>
        <v>1137007.32</v>
      </c>
      <c r="I229" s="41">
        <f>SUM(I215:I228)</f>
        <v>254160.24</v>
      </c>
      <c r="J229" s="41">
        <f>SUM(J215:J228)</f>
        <v>33661.410000000003</v>
      </c>
      <c r="K229" s="41">
        <f t="shared" si="3"/>
        <v>17319.28</v>
      </c>
      <c r="L229" s="41">
        <f t="shared" si="3"/>
        <v>6472346.3400000017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55361+63395+285944.59+137099.18+95092.39+41834.77+61342+212279.73+59367+274264+57417+249496+21084.07+1109.2+56193.98+4100+49329.79</f>
        <v>1724709.7000000002</v>
      </c>
      <c r="G233" s="18">
        <f>15980.38+802.36+48.1+3965.78+8675.15+22355.84+1356.94+48.1+4814.94+9934.07+59293.87+2468.7+288.46+20829.53+38707.21+19336.2+1298.75+115.24+10307.8+21483.46+7990.32+1241.5+72.02+7159.1+14900.64+1598.08+799.77+33.86+3178.59+6555.44+22355.84+1356.94+48.1+4627.9+9612.2+36555.25+2157.08+220.31+16005.8+33264.18+22355.84+93.86+48.1+4483.73+9302.79+39112.8+2977.92+240.36+20791.98+42977.25+15980.36+802.34+47.96+4277.03+8997.35+63522.1+4079.46+192.12+18601.91+39095.97+38811.77+36.54+5693.27+1024.42+72676.23</f>
        <v>828067.25999999989</v>
      </c>
      <c r="H233" s="18">
        <f>25035+376.44+77.47+152.25+500+545+12621.94</f>
        <v>39308.1</v>
      </c>
      <c r="I233" s="18">
        <f>5179.36+1478.95+493.44+5225.92+74.99+422.51+1830.61+49+40.09+368.44+553.64+1199.27+3057.38+156.85+36+1155.31+236.65+4854.62+291.81+532.44+25+681.84+29.99+25131.6+354.68</f>
        <v>53460.39</v>
      </c>
      <c r="J233" s="18">
        <f>176.35+201.78+1221.06+57.11+479.2+187.79+477.9+2473.7</f>
        <v>5274.8899999999994</v>
      </c>
      <c r="K233" s="18">
        <f>885</f>
        <v>885</v>
      </c>
      <c r="L233" s="19">
        <f>SUM(F233:K233)</f>
        <v>2651705.3400000003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159673.97+94984.87+57150.08+137369+26122.13</f>
        <v>475300.05</v>
      </c>
      <c r="G234" s="18">
        <f>180705.3+195.43+9735.18+21573.5+1699.42+96.2+6968.04+14883.99+16835.99+1999.34+144.04+154.44+4323.43+8955.44+37554.28+2483.28+144.16+10364.02+21525.76+10257.49</f>
        <v>350598.73000000004</v>
      </c>
      <c r="H234" s="18">
        <f>450+275957.76+248160.7</f>
        <v>524568.46</v>
      </c>
      <c r="I234" s="18">
        <f>1499.27+987.04</f>
        <v>2486.31</v>
      </c>
      <c r="J234" s="18">
        <f>4326.05+503.32</f>
        <v>4829.37</v>
      </c>
      <c r="K234" s="18">
        <f>6600.6</f>
        <v>6600.6</v>
      </c>
      <c r="L234" s="19">
        <f>SUM(F234:K234)</f>
        <v>1364383.5200000003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134995</f>
        <v>134995</v>
      </c>
      <c r="I235" s="18"/>
      <c r="J235" s="18"/>
      <c r="K235" s="18"/>
      <c r="L235" s="19">
        <f>SUM(F235:K235)</f>
        <v>134995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101923.46+20100</f>
        <v>122023.46</v>
      </c>
      <c r="G236" s="18">
        <f>7556.52+7289.28+1566.34+3208.41</f>
        <v>19620.55</v>
      </c>
      <c r="H236" s="18">
        <f>18246+12442+2839.29</f>
        <v>33527.29</v>
      </c>
      <c r="I236" s="18">
        <f>10007.38</f>
        <v>10007.379999999999</v>
      </c>
      <c r="J236" s="18">
        <f>6327.8</f>
        <v>6327.8</v>
      </c>
      <c r="K236" s="18">
        <f>6985</f>
        <v>6985</v>
      </c>
      <c r="L236" s="19">
        <f>SUM(F236:K236)</f>
        <v>198491.48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171412.42+25004.4+38834.12+16202.67+20523.71</f>
        <v>271977.32</v>
      </c>
      <c r="G238" s="18">
        <f>33476.07+1126.36+163.3+14542.05+2793.73+26860.23+44104.5+2107.56+129.02+104.78+3692.43+6085.3+347+11683.46</f>
        <v>147215.78999999998</v>
      </c>
      <c r="H238" s="18">
        <f>42222.5</f>
        <v>42222.5</v>
      </c>
      <c r="I238" s="18">
        <f>1084.28+3278.41+1040.76+1639.44</f>
        <v>7042.8899999999994</v>
      </c>
      <c r="J238" s="18">
        <f>411.56</f>
        <v>411.56</v>
      </c>
      <c r="K238" s="18"/>
      <c r="L238" s="19">
        <f t="shared" ref="L238:L244" si="4">SUM(F238:K238)</f>
        <v>468870.06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47596+45464.2</f>
        <v>93060.2</v>
      </c>
      <c r="G239" s="18">
        <f>7990.32+563.16+48.1+3618.93+7458.34+17787</f>
        <v>37465.85</v>
      </c>
      <c r="H239" s="18">
        <f>359+1376.43+673.53+11807.95</f>
        <v>14216.91</v>
      </c>
      <c r="I239" s="18">
        <f>670.82+6633.38+734.66+1495+927.39+544.2+1424.21+12868.74+1646.29+4830.58</f>
        <v>31775.270000000004</v>
      </c>
      <c r="J239" s="18">
        <f>363.66+5781.36+7417.35+3010.53</f>
        <v>16572.899999999998</v>
      </c>
      <c r="K239" s="18"/>
      <c r="L239" s="19">
        <f t="shared" si="4"/>
        <v>193091.12999999998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132907.64</f>
        <v>132907.64000000001</v>
      </c>
      <c r="G240" s="18">
        <f>59314.28</f>
        <v>59314.28</v>
      </c>
      <c r="H240" s="18">
        <f>35946.16</f>
        <v>35946.160000000003</v>
      </c>
      <c r="I240" s="18">
        <f>5291.51</f>
        <v>5291.51</v>
      </c>
      <c r="J240" s="18"/>
      <c r="K240" s="18">
        <f>7406.74</f>
        <v>7406.74</v>
      </c>
      <c r="L240" s="19">
        <f t="shared" si="4"/>
        <v>240866.33000000002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73049.68+160905.83+17500.14</f>
        <v>251455.64999999997</v>
      </c>
      <c r="G241" s="18">
        <f>50971.61+3231.8+204.04+189.02+17230.03+8154.44+25301.79+1338.3+2742.74</f>
        <v>109363.77000000002</v>
      </c>
      <c r="H241" s="18">
        <f>1573.36+589+293.25+16549.38+8047.88+2005.71+35.4+652.48+6553.35</f>
        <v>36299.810000000005</v>
      </c>
      <c r="I241" s="18">
        <f>3815.59+5737.5</f>
        <v>9553.09</v>
      </c>
      <c r="J241" s="18"/>
      <c r="K241" s="18">
        <f>3391.05+1695</f>
        <v>5086.05</v>
      </c>
      <c r="L241" s="19">
        <f t="shared" si="4"/>
        <v>411758.37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47683.39</f>
        <v>47683.39</v>
      </c>
      <c r="G242" s="18">
        <f>17125.17</f>
        <v>17125.169999999998</v>
      </c>
      <c r="H242" s="18">
        <f>1796.5</f>
        <v>1796.5</v>
      </c>
      <c r="I242" s="18"/>
      <c r="J242" s="18"/>
      <c r="K242" s="18">
        <f>512.85+1198.79</f>
        <v>1711.6399999999999</v>
      </c>
      <c r="L242" s="19">
        <f t="shared" si="4"/>
        <v>68316.7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117369.25+66266.84</f>
        <v>183636.09</v>
      </c>
      <c r="G243" s="18">
        <f>43557.71+2267.55+60.4+8371.59+12080.06+21373.72</f>
        <v>87711.03</v>
      </c>
      <c r="H243" s="18">
        <f>7710+1364.5+34917.44+38366.3+8931.96+3675.17+34547.34</f>
        <v>129512.71</v>
      </c>
      <c r="I243" s="18">
        <f>17183.5+66958.68+22749.73+633.77+2888.97</f>
        <v>110414.65</v>
      </c>
      <c r="J243" s="18">
        <f>3754.93</f>
        <v>3754.93</v>
      </c>
      <c r="K243" s="18"/>
      <c r="L243" s="19">
        <f t="shared" si="4"/>
        <v>515029.41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30215.42+6796.43+165694+145492.35+23270.96+14870.37</f>
        <v>386339.53</v>
      </c>
      <c r="I244" s="18"/>
      <c r="J244" s="18"/>
      <c r="K244" s="18"/>
      <c r="L244" s="19">
        <f t="shared" si="4"/>
        <v>386339.53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f>733.91</f>
        <v>733.91</v>
      </c>
      <c r="I245" s="18"/>
      <c r="J245" s="18"/>
      <c r="K245" s="18"/>
      <c r="L245" s="19">
        <f>SUM(F245:K245)</f>
        <v>733.91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3302753.5</v>
      </c>
      <c r="G247" s="41">
        <f t="shared" si="5"/>
        <v>1656482.4300000002</v>
      </c>
      <c r="H247" s="41">
        <f t="shared" si="5"/>
        <v>1379466.8800000001</v>
      </c>
      <c r="I247" s="41">
        <f t="shared" si="5"/>
        <v>230031.49</v>
      </c>
      <c r="J247" s="41">
        <f t="shared" si="5"/>
        <v>37171.449999999997</v>
      </c>
      <c r="K247" s="41">
        <f t="shared" si="5"/>
        <v>28675.03</v>
      </c>
      <c r="L247" s="41">
        <f t="shared" si="5"/>
        <v>6634580.7800000012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>
        <f>16814.77</f>
        <v>16814.77</v>
      </c>
      <c r="J253" s="18"/>
      <c r="K253" s="18"/>
      <c r="L253" s="19">
        <f t="shared" si="6"/>
        <v>16814.77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6892.91</v>
      </c>
      <c r="I255" s="18"/>
      <c r="J255" s="18"/>
      <c r="K255" s="18"/>
      <c r="L255" s="19">
        <f t="shared" si="6"/>
        <v>6892.91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6892.91</v>
      </c>
      <c r="I256" s="41">
        <f t="shared" si="7"/>
        <v>16814.77</v>
      </c>
      <c r="J256" s="41">
        <f t="shared" si="7"/>
        <v>0</v>
      </c>
      <c r="K256" s="41">
        <f t="shared" si="7"/>
        <v>0</v>
      </c>
      <c r="L256" s="41">
        <f>SUM(F256:K256)</f>
        <v>23707.68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10263574.25</v>
      </c>
      <c r="G257" s="41">
        <f t="shared" si="8"/>
        <v>5439001.1999999993</v>
      </c>
      <c r="H257" s="41">
        <f t="shared" si="8"/>
        <v>3579191.2</v>
      </c>
      <c r="I257" s="41">
        <f t="shared" si="8"/>
        <v>733563.16999999993</v>
      </c>
      <c r="J257" s="41">
        <f t="shared" si="8"/>
        <v>100099.97</v>
      </c>
      <c r="K257" s="41">
        <f t="shared" si="8"/>
        <v>67421.56</v>
      </c>
      <c r="L257" s="41">
        <f t="shared" si="8"/>
        <v>20182851.350000001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729248.27</v>
      </c>
      <c r="L260" s="19">
        <f>SUM(F260:K260)</f>
        <v>729248.27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429259.73</v>
      </c>
      <c r="L261" s="19">
        <f>SUM(F261:K261)</f>
        <v>429259.73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38295.78</v>
      </c>
      <c r="L263" s="19">
        <f>SUM(F263:K263)</f>
        <v>38295.78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214000</v>
      </c>
      <c r="L266" s="19">
        <f t="shared" si="9"/>
        <v>214000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1410803.78</v>
      </c>
      <c r="L270" s="41">
        <f t="shared" si="9"/>
        <v>1410803.78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10263574.25</v>
      </c>
      <c r="G271" s="42">
        <f t="shared" si="11"/>
        <v>5439001.1999999993</v>
      </c>
      <c r="H271" s="42">
        <f t="shared" si="11"/>
        <v>3579191.2</v>
      </c>
      <c r="I271" s="42">
        <f t="shared" si="11"/>
        <v>733563.16999999993</v>
      </c>
      <c r="J271" s="42">
        <f t="shared" si="11"/>
        <v>100099.97</v>
      </c>
      <c r="K271" s="42">
        <f t="shared" si="11"/>
        <v>1478225.34</v>
      </c>
      <c r="L271" s="42">
        <f t="shared" si="11"/>
        <v>21593655.130000003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124389.5</f>
        <v>124389.5</v>
      </c>
      <c r="G276" s="18">
        <f>29815.6</f>
        <v>29815.599999999999</v>
      </c>
      <c r="H276" s="18">
        <f>1674.97</f>
        <v>1674.97</v>
      </c>
      <c r="I276" s="18">
        <f>9052.81+238.42</f>
        <v>9291.23</v>
      </c>
      <c r="J276" s="18">
        <f>1236.71</f>
        <v>1236.71</v>
      </c>
      <c r="K276" s="18"/>
      <c r="L276" s="19">
        <f>SUM(F276:K276)</f>
        <v>166408.01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34995</f>
        <v>34995</v>
      </c>
      <c r="G277" s="18">
        <f>16702.14</f>
        <v>16702.14</v>
      </c>
      <c r="H277" s="18">
        <f>8241</f>
        <v>8241</v>
      </c>
      <c r="I277" s="18">
        <f>5345.64</f>
        <v>5345.64</v>
      </c>
      <c r="J277" s="18"/>
      <c r="K277" s="18"/>
      <c r="L277" s="19">
        <f>SUM(F277:K277)</f>
        <v>65283.78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957.7</f>
        <v>957.7</v>
      </c>
      <c r="G279" s="18">
        <f>95.01</f>
        <v>95.01</v>
      </c>
      <c r="H279" s="18"/>
      <c r="I279" s="18">
        <f>20779.28</f>
        <v>20779.28</v>
      </c>
      <c r="J279" s="18"/>
      <c r="K279" s="18"/>
      <c r="L279" s="19">
        <f>SUM(F279:K279)</f>
        <v>21831.989999999998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23362.42</f>
        <v>23362.42</v>
      </c>
      <c r="G281" s="18">
        <f>13680.74</f>
        <v>13680.74</v>
      </c>
      <c r="H281" s="18">
        <f>46830.36</f>
        <v>46830.36</v>
      </c>
      <c r="I281" s="18"/>
      <c r="J281" s="18"/>
      <c r="K281" s="18"/>
      <c r="L281" s="19">
        <f t="shared" ref="L281:L287" si="12">SUM(F281:K281)</f>
        <v>83873.51999999999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2821.31</f>
        <v>2821.31</v>
      </c>
      <c r="G282" s="18">
        <f>1436.31</f>
        <v>1436.31</v>
      </c>
      <c r="H282" s="18">
        <f>11919+206.56</f>
        <v>12125.56</v>
      </c>
      <c r="I282" s="18"/>
      <c r="J282" s="18"/>
      <c r="K282" s="18"/>
      <c r="L282" s="19">
        <f t="shared" si="12"/>
        <v>16383.18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186525.93</v>
      </c>
      <c r="G290" s="42">
        <f t="shared" si="13"/>
        <v>61729.799999999996</v>
      </c>
      <c r="H290" s="42">
        <f t="shared" si="13"/>
        <v>68871.89</v>
      </c>
      <c r="I290" s="42">
        <f t="shared" si="13"/>
        <v>35416.149999999994</v>
      </c>
      <c r="J290" s="42">
        <f t="shared" si="13"/>
        <v>1236.71</v>
      </c>
      <c r="K290" s="42">
        <f t="shared" si="13"/>
        <v>0</v>
      </c>
      <c r="L290" s="41">
        <f t="shared" si="13"/>
        <v>353780.47999999998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66348</f>
        <v>66348</v>
      </c>
      <c r="G295" s="18">
        <f>6064.55</f>
        <v>6064.55</v>
      </c>
      <c r="H295" s="18">
        <f>1348.49</f>
        <v>1348.49</v>
      </c>
      <c r="I295" s="18">
        <f>9753.41+191.94</f>
        <v>9945.35</v>
      </c>
      <c r="J295" s="18">
        <f>1236.7</f>
        <v>1236.7</v>
      </c>
      <c r="K295" s="18"/>
      <c r="L295" s="19">
        <f>SUM(F295:K295)</f>
        <v>84943.090000000011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>
        <f>4303.69</f>
        <v>4303.6899999999996</v>
      </c>
      <c r="J296" s="18"/>
      <c r="K296" s="18"/>
      <c r="L296" s="19">
        <f>SUM(F296:K296)</f>
        <v>4303.6899999999996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18808.72</f>
        <v>18808.72</v>
      </c>
      <c r="G300" s="18">
        <f>11014.16</f>
        <v>11014.16</v>
      </c>
      <c r="H300" s="18">
        <f>37702.41</f>
        <v>37702.410000000003</v>
      </c>
      <c r="I300" s="18"/>
      <c r="J300" s="18"/>
      <c r="K300" s="18"/>
      <c r="L300" s="19">
        <f t="shared" ref="L300:L306" si="14">SUM(F300:K300)</f>
        <v>67525.290000000008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2271.39</f>
        <v>2271.39</v>
      </c>
      <c r="G301" s="18">
        <f>1156.34</f>
        <v>1156.3399999999999</v>
      </c>
      <c r="H301" s="18">
        <f>12970+166.29</f>
        <v>13136.29</v>
      </c>
      <c r="I301" s="18"/>
      <c r="J301" s="18"/>
      <c r="K301" s="18"/>
      <c r="L301" s="19">
        <f t="shared" si="14"/>
        <v>16564.02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87428.11</v>
      </c>
      <c r="G309" s="42">
        <f t="shared" si="15"/>
        <v>18235.05</v>
      </c>
      <c r="H309" s="42">
        <f t="shared" si="15"/>
        <v>52187.19</v>
      </c>
      <c r="I309" s="42">
        <f t="shared" si="15"/>
        <v>14249.04</v>
      </c>
      <c r="J309" s="42">
        <f t="shared" si="15"/>
        <v>1236.7</v>
      </c>
      <c r="K309" s="42">
        <f t="shared" si="15"/>
        <v>0</v>
      </c>
      <c r="L309" s="41">
        <f t="shared" si="15"/>
        <v>173336.09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f>1206.54</f>
        <v>1206.54</v>
      </c>
      <c r="I314" s="18">
        <f>171.74</f>
        <v>171.74</v>
      </c>
      <c r="J314" s="18">
        <f>1236.71</f>
        <v>1236.71</v>
      </c>
      <c r="K314" s="18"/>
      <c r="L314" s="19">
        <f>SUM(F314:K314)</f>
        <v>2614.9899999999998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85830.8</f>
        <v>85830.8</v>
      </c>
      <c r="G315" s="18">
        <f>51215.17</f>
        <v>51215.17</v>
      </c>
      <c r="H315" s="18">
        <f>1561.05</f>
        <v>1561.05</v>
      </c>
      <c r="I315" s="18">
        <f>550+3850.67</f>
        <v>4400.67</v>
      </c>
      <c r="J315" s="18"/>
      <c r="K315" s="18"/>
      <c r="L315" s="19">
        <f>SUM(F315:K315)</f>
        <v>143007.69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16828.86</f>
        <v>16828.86</v>
      </c>
      <c r="G319" s="18">
        <f>9854.77</f>
        <v>9854.77</v>
      </c>
      <c r="H319" s="18">
        <f>33733.73</f>
        <v>33733.730000000003</v>
      </c>
      <c r="I319" s="18"/>
      <c r="J319" s="18"/>
      <c r="K319" s="18"/>
      <c r="L319" s="19">
        <f t="shared" ref="L319:L325" si="16">SUM(F319:K319)</f>
        <v>60417.36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2032.3</f>
        <v>2032.3</v>
      </c>
      <c r="G320" s="18">
        <f>1034.63</f>
        <v>1034.6300000000001</v>
      </c>
      <c r="H320" s="18">
        <f>360+148.79</f>
        <v>508.78999999999996</v>
      </c>
      <c r="I320" s="18">
        <f>1068.75</f>
        <v>1068.75</v>
      </c>
      <c r="J320" s="18"/>
      <c r="K320" s="18"/>
      <c r="L320" s="19">
        <f t="shared" si="16"/>
        <v>4644.47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104691.96</v>
      </c>
      <c r="G328" s="42">
        <f t="shared" si="17"/>
        <v>62104.57</v>
      </c>
      <c r="H328" s="42">
        <f t="shared" si="17"/>
        <v>37010.110000000008</v>
      </c>
      <c r="I328" s="42">
        <f t="shared" si="17"/>
        <v>5641.16</v>
      </c>
      <c r="J328" s="42">
        <f t="shared" si="17"/>
        <v>1236.71</v>
      </c>
      <c r="K328" s="42">
        <f t="shared" si="17"/>
        <v>0</v>
      </c>
      <c r="L328" s="41">
        <f t="shared" si="17"/>
        <v>210684.50999999998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378646</v>
      </c>
      <c r="G338" s="41">
        <f t="shared" si="20"/>
        <v>142069.41999999998</v>
      </c>
      <c r="H338" s="41">
        <f t="shared" si="20"/>
        <v>158069.19</v>
      </c>
      <c r="I338" s="41">
        <f t="shared" si="20"/>
        <v>55306.349999999991</v>
      </c>
      <c r="J338" s="41">
        <f t="shared" si="20"/>
        <v>3710.12</v>
      </c>
      <c r="K338" s="41">
        <f t="shared" si="20"/>
        <v>0</v>
      </c>
      <c r="L338" s="41">
        <f t="shared" si="20"/>
        <v>737801.08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19333.73</v>
      </c>
      <c r="L344" s="19">
        <f t="shared" ref="L344:L350" si="21">SUM(F344:K344)</f>
        <v>19333.73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19333.73</v>
      </c>
      <c r="L351" s="41">
        <f>SUM(L341:L350)</f>
        <v>19333.73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378646</v>
      </c>
      <c r="G352" s="41">
        <f>G338</f>
        <v>142069.41999999998</v>
      </c>
      <c r="H352" s="41">
        <f>H338</f>
        <v>158069.19</v>
      </c>
      <c r="I352" s="41">
        <f>I338</f>
        <v>55306.349999999991</v>
      </c>
      <c r="J352" s="41">
        <f>J338</f>
        <v>3710.12</v>
      </c>
      <c r="K352" s="47">
        <f>K338+K351</f>
        <v>19333.73</v>
      </c>
      <c r="L352" s="41">
        <f>L338+L351</f>
        <v>757134.80999999994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82397.960000000006</v>
      </c>
      <c r="G358" s="18">
        <v>20525.23</v>
      </c>
      <c r="H358" s="18">
        <v>6513.78</v>
      </c>
      <c r="I358" s="18">
        <f>4464.38+56352.57</f>
        <v>60816.95</v>
      </c>
      <c r="J358" s="18">
        <v>77.34</v>
      </c>
      <c r="K358" s="18">
        <v>353.52</v>
      </c>
      <c r="L358" s="13">
        <f>SUM(F358:K358)</f>
        <v>170684.77999999997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72344.72</v>
      </c>
      <c r="G359" s="18">
        <v>39669.730000000003</v>
      </c>
      <c r="H359" s="18">
        <v>11376.48</v>
      </c>
      <c r="I359" s="18">
        <f>5598.89+55052.88</f>
        <v>60651.77</v>
      </c>
      <c r="J359" s="18">
        <v>208.48</v>
      </c>
      <c r="K359" s="18">
        <v>283.23</v>
      </c>
      <c r="L359" s="19">
        <f>SUM(F359:K359)</f>
        <v>184534.41000000003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81739.33</v>
      </c>
      <c r="G360" s="18">
        <f>22905.29</f>
        <v>22905.29</v>
      </c>
      <c r="H360" s="18">
        <f>4242.15</f>
        <v>4242.1499999999996</v>
      </c>
      <c r="I360" s="18">
        <f>4020.06+59558.18</f>
        <v>63578.239999999998</v>
      </c>
      <c r="J360" s="18">
        <v>1129.8499999999999</v>
      </c>
      <c r="K360" s="18">
        <v>291.75</v>
      </c>
      <c r="L360" s="19">
        <f>SUM(F360:K360)</f>
        <v>173886.61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236482.01</v>
      </c>
      <c r="G362" s="47">
        <f t="shared" si="22"/>
        <v>83100.25</v>
      </c>
      <c r="H362" s="47">
        <f t="shared" si="22"/>
        <v>22132.409999999996</v>
      </c>
      <c r="I362" s="47">
        <f t="shared" si="22"/>
        <v>185046.96</v>
      </c>
      <c r="J362" s="47">
        <f t="shared" si="22"/>
        <v>1415.6699999999998</v>
      </c>
      <c r="K362" s="47">
        <f t="shared" si="22"/>
        <v>928.5</v>
      </c>
      <c r="L362" s="47">
        <f t="shared" si="22"/>
        <v>529105.80000000005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56352.57</v>
      </c>
      <c r="G367" s="18">
        <v>55052.88</v>
      </c>
      <c r="H367" s="18">
        <v>59558.18</v>
      </c>
      <c r="I367" s="56">
        <f>SUM(F367:H367)</f>
        <v>170963.63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4464.38</v>
      </c>
      <c r="G368" s="63">
        <v>5598.89</v>
      </c>
      <c r="H368" s="63">
        <v>4020.06</v>
      </c>
      <c r="I368" s="56">
        <f>SUM(F368:H368)</f>
        <v>14083.33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60816.95</v>
      </c>
      <c r="G369" s="47">
        <f>SUM(G367:G368)</f>
        <v>60651.77</v>
      </c>
      <c r="H369" s="47">
        <f>SUM(H367:H368)</f>
        <v>63578.239999999998</v>
      </c>
      <c r="I369" s="47">
        <f>SUM(I367:I368)</f>
        <v>185046.96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 t="s">
        <v>286</v>
      </c>
      <c r="G388" s="18"/>
      <c r="H388" s="18" t="s">
        <v>286</v>
      </c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 t="s">
        <v>286</v>
      </c>
      <c r="G396" s="18">
        <v>205000</v>
      </c>
      <c r="H396" s="18">
        <v>6341.29</v>
      </c>
      <c r="I396" s="18"/>
      <c r="J396" s="24" t="s">
        <v>288</v>
      </c>
      <c r="K396" s="24" t="s">
        <v>288</v>
      </c>
      <c r="L396" s="56">
        <f t="shared" si="26"/>
        <v>211341.29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3187.64</v>
      </c>
      <c r="I397" s="18"/>
      <c r="J397" s="24" t="s">
        <v>288</v>
      </c>
      <c r="K397" s="24" t="s">
        <v>288</v>
      </c>
      <c r="L397" s="56">
        <f t="shared" si="26"/>
        <v>3187.64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990.67</v>
      </c>
      <c r="I399" s="18"/>
      <c r="J399" s="24" t="s">
        <v>288</v>
      </c>
      <c r="K399" s="24" t="s">
        <v>288</v>
      </c>
      <c r="L399" s="56">
        <f t="shared" si="26"/>
        <v>990.67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 t="s">
        <v>286</v>
      </c>
      <c r="G400" s="18">
        <v>9000</v>
      </c>
      <c r="H400" s="18">
        <f>408.36+272.94</f>
        <v>681.3</v>
      </c>
      <c r="I400" s="18"/>
      <c r="J400" s="24" t="s">
        <v>288</v>
      </c>
      <c r="K400" s="24" t="s">
        <v>288</v>
      </c>
      <c r="L400" s="56">
        <f t="shared" si="26"/>
        <v>9681.2999999999993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214000</v>
      </c>
      <c r="H401" s="47">
        <f>SUM(H395:H400)</f>
        <v>11200.9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225200.90000000002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 t="s">
        <v>919</v>
      </c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>
        <v>3076.05</v>
      </c>
      <c r="I403" s="18"/>
      <c r="J403" s="24" t="s">
        <v>288</v>
      </c>
      <c r="K403" s="24" t="s">
        <v>288</v>
      </c>
      <c r="L403" s="56">
        <f>SUM(F403:K403)</f>
        <v>3076.05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3076.05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3076.05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214000</v>
      </c>
      <c r="H408" s="47">
        <f>H393+H401+H407</f>
        <v>14276.95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228276.95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>
        <v>224298.34</v>
      </c>
      <c r="K422" s="18"/>
      <c r="L422" s="56">
        <f t="shared" si="29"/>
        <v>224298.34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>
        <v>13000</v>
      </c>
      <c r="K425" s="18"/>
      <c r="L425" s="56">
        <f t="shared" si="29"/>
        <v>13000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>
        <f>5345</f>
        <v>5345</v>
      </c>
      <c r="K426" s="18"/>
      <c r="L426" s="56">
        <f t="shared" si="29"/>
        <v>5345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242643.34</v>
      </c>
      <c r="K427" s="47">
        <f t="shared" si="30"/>
        <v>0</v>
      </c>
      <c r="L427" s="47">
        <f t="shared" si="30"/>
        <v>242643.34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919</v>
      </c>
      <c r="B429" s="6">
        <v>17</v>
      </c>
      <c r="C429" s="6">
        <v>15</v>
      </c>
      <c r="D429" s="2" t="s">
        <v>432</v>
      </c>
      <c r="E429" s="6"/>
      <c r="F429" s="18"/>
      <c r="G429" s="18"/>
      <c r="H429" s="18">
        <v>1400</v>
      </c>
      <c r="I429" s="18"/>
      <c r="J429" s="18"/>
      <c r="K429" s="18" t="s">
        <v>286</v>
      </c>
      <c r="L429" s="56">
        <f>SUM(F429:K429)</f>
        <v>1400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1400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1400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1400</v>
      </c>
      <c r="I434" s="47">
        <f t="shared" si="32"/>
        <v>0</v>
      </c>
      <c r="J434" s="47">
        <f t="shared" si="32"/>
        <v>242643.34</v>
      </c>
      <c r="K434" s="47">
        <f t="shared" si="32"/>
        <v>0</v>
      </c>
      <c r="L434" s="47">
        <f t="shared" si="32"/>
        <v>244043.34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594964.99</v>
      </c>
      <c r="G440" s="18"/>
      <c r="H440" s="18">
        <v>57228.06</v>
      </c>
      <c r="I440" s="56">
        <f t="shared" si="33"/>
        <v>652193.05000000005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594964.99</v>
      </c>
      <c r="G446" s="13">
        <f>SUM(G439:G445)</f>
        <v>0</v>
      </c>
      <c r="H446" s="13">
        <f>SUM(H439:H445)</f>
        <v>57228.06</v>
      </c>
      <c r="I446" s="13">
        <f>SUM(I439:I445)</f>
        <v>652193.05000000005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594964.99</v>
      </c>
      <c r="G459" s="18"/>
      <c r="H459" s="18">
        <v>57228.06</v>
      </c>
      <c r="I459" s="56">
        <f t="shared" si="34"/>
        <v>652193.05000000005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594964.99</v>
      </c>
      <c r="G460" s="83">
        <f>SUM(G454:G459)</f>
        <v>0</v>
      </c>
      <c r="H460" s="83">
        <f>SUM(H454:H459)</f>
        <v>57228.06</v>
      </c>
      <c r="I460" s="83">
        <f>SUM(I454:I459)</f>
        <v>652193.05000000005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594964.99</v>
      </c>
      <c r="G461" s="42">
        <f>G452+G460</f>
        <v>0</v>
      </c>
      <c r="H461" s="42">
        <f>H452+H460</f>
        <v>57228.06</v>
      </c>
      <c r="I461" s="42">
        <f>I452+I460</f>
        <v>652193.05000000005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751565.73</v>
      </c>
      <c r="G465" s="18">
        <v>0</v>
      </c>
      <c r="H465" s="18"/>
      <c r="I465" s="18">
        <v>0</v>
      </c>
      <c r="J465" s="18">
        <v>689699.81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21930802.02</v>
      </c>
      <c r="G468" s="18">
        <v>529105.80000000005</v>
      </c>
      <c r="H468" s="18">
        <v>757134.81</v>
      </c>
      <c r="I468" s="18" t="s">
        <v>286</v>
      </c>
      <c r="J468" s="18">
        <f>214000+14276.95</f>
        <v>228276.95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21930802.02</v>
      </c>
      <c r="G470" s="53">
        <f>SUM(G468:G469)</f>
        <v>529105.80000000005</v>
      </c>
      <c r="H470" s="53">
        <f>SUM(H468:H469)</f>
        <v>757134.81</v>
      </c>
      <c r="I470" s="53">
        <f>SUM(I468:I469)</f>
        <v>0</v>
      </c>
      <c r="J470" s="53">
        <f>SUM(J468:J469)</f>
        <v>228276.95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21593655.129999999</v>
      </c>
      <c r="G472" s="18">
        <v>529105.80000000005</v>
      </c>
      <c r="H472" s="18">
        <v>757134.81</v>
      </c>
      <c r="I472" s="18" t="s">
        <v>286</v>
      </c>
      <c r="J472" s="18">
        <v>244043.34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>
        <v>21740.37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21593655.129999999</v>
      </c>
      <c r="G474" s="53">
        <f>SUM(G472:G473)</f>
        <v>529105.80000000005</v>
      </c>
      <c r="H474" s="53">
        <f>SUM(H472:H473)</f>
        <v>757134.81</v>
      </c>
      <c r="I474" s="53">
        <f>SUM(I472:I473)</f>
        <v>0</v>
      </c>
      <c r="J474" s="53">
        <f>SUM(J472:J473)</f>
        <v>265783.71000000002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1088712.620000001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652193.05000000005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930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13402490</v>
      </c>
      <c r="G493" s="18">
        <v>1060000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4.13</v>
      </c>
      <c r="G494" s="18">
        <v>5.0999999999999996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5090827.75</v>
      </c>
      <c r="G495" s="18">
        <v>950000</v>
      </c>
      <c r="H495" s="18"/>
      <c r="I495" s="18"/>
      <c r="J495" s="18"/>
      <c r="K495" s="53">
        <f>SUM(F495:J495)</f>
        <v>6040827.75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619248.27</v>
      </c>
      <c r="G497" s="18">
        <v>110000</v>
      </c>
      <c r="H497" s="18"/>
      <c r="I497" s="18"/>
      <c r="J497" s="18"/>
      <c r="K497" s="53">
        <f t="shared" si="35"/>
        <v>729248.27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4471579.4800000004</v>
      </c>
      <c r="G498" s="204">
        <v>840000</v>
      </c>
      <c r="H498" s="204"/>
      <c r="I498" s="204"/>
      <c r="J498" s="204"/>
      <c r="K498" s="205">
        <f t="shared" si="35"/>
        <v>5311579.4800000004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4296348.5199999996</v>
      </c>
      <c r="G499" s="18">
        <v>171360</v>
      </c>
      <c r="H499" s="18"/>
      <c r="I499" s="18"/>
      <c r="J499" s="18"/>
      <c r="K499" s="53">
        <f t="shared" si="35"/>
        <v>4467708.5199999996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8767928</v>
      </c>
      <c r="G500" s="42">
        <f>SUM(G498:G499)</f>
        <v>1011360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9779288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592893.43000000005</v>
      </c>
      <c r="G501" s="204">
        <v>105000</v>
      </c>
      <c r="H501" s="204"/>
      <c r="I501" s="204"/>
      <c r="J501" s="204"/>
      <c r="K501" s="205">
        <f t="shared" si="35"/>
        <v>697893.43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410594.57</v>
      </c>
      <c r="G502" s="18">
        <v>40162.5</v>
      </c>
      <c r="H502" s="18"/>
      <c r="I502" s="18"/>
      <c r="J502" s="18"/>
      <c r="K502" s="53">
        <f t="shared" si="35"/>
        <v>450757.07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1003488</v>
      </c>
      <c r="G503" s="42">
        <f>SUM(G501:G502)</f>
        <v>145162.5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1148650.5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795747.94-5502.07+34995</f>
        <v>825240.87</v>
      </c>
      <c r="G521" s="18">
        <f>590760.42-415.58+16702.14</f>
        <v>607046.9800000001</v>
      </c>
      <c r="H521" s="18">
        <f>435168.34-3908.28+8241</f>
        <v>439501.06</v>
      </c>
      <c r="I521" s="18">
        <f>4391.14-246.34+5345.64</f>
        <v>9490.44</v>
      </c>
      <c r="J521" s="18">
        <f>1528.73</f>
        <v>1528.73</v>
      </c>
      <c r="K521" s="18">
        <f>9163.18+4396.26</f>
        <v>13559.44</v>
      </c>
      <c r="L521" s="88">
        <f>SUM(F521:K521)</f>
        <v>1896367.52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528715.47-4408.08</f>
        <v>524307.39</v>
      </c>
      <c r="G522" s="18">
        <f>382195.54-332.95</f>
        <v>381862.58999999997</v>
      </c>
      <c r="H522" s="18">
        <f>678626.6-3146.5</f>
        <v>675480.1</v>
      </c>
      <c r="I522" s="18">
        <f>2800.05-197.36+4303.69</f>
        <v>6906.3799999999992</v>
      </c>
      <c r="J522" s="18">
        <f>977.53</f>
        <v>977.53</v>
      </c>
      <c r="K522" s="18">
        <f>7377.14+3539.36</f>
        <v>10916.5</v>
      </c>
      <c r="L522" s="88">
        <f>SUM(F522:K522)</f>
        <v>1600450.49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475300.05-4540.65+85710.8</f>
        <v>556470.19999999995</v>
      </c>
      <c r="G523" s="18">
        <f>350598.73-342.96+51205.99</f>
        <v>401461.75999999995</v>
      </c>
      <c r="H523" s="18">
        <f>524568.46-2815.28</f>
        <v>521753.17999999993</v>
      </c>
      <c r="I523" s="18">
        <f>2486.31-203.3+3850.67</f>
        <v>6133.68</v>
      </c>
      <c r="J523" s="18">
        <f>4829.37</f>
        <v>4829.37</v>
      </c>
      <c r="K523" s="18">
        <f>6600.6+3166.8</f>
        <v>9767.4000000000015</v>
      </c>
      <c r="L523" s="88">
        <f>SUM(F523:K523)</f>
        <v>1500415.5899999999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1906018.46</v>
      </c>
      <c r="G524" s="108">
        <f t="shared" ref="G524:L524" si="36">SUM(G521:G523)</f>
        <v>1390371.33</v>
      </c>
      <c r="H524" s="108">
        <f t="shared" si="36"/>
        <v>1636734.3399999999</v>
      </c>
      <c r="I524" s="108">
        <f t="shared" si="36"/>
        <v>22530.5</v>
      </c>
      <c r="J524" s="108">
        <f t="shared" si="36"/>
        <v>7335.63</v>
      </c>
      <c r="K524" s="108">
        <f t="shared" si="36"/>
        <v>34243.340000000004</v>
      </c>
      <c r="L524" s="89">
        <f t="shared" si="36"/>
        <v>4997233.5999999996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143643.75+23362.42</f>
        <v>167006.16999999998</v>
      </c>
      <c r="G526" s="18">
        <f>96439.94+13680.74</f>
        <v>110120.68000000001</v>
      </c>
      <c r="H526" s="18">
        <f>154.4+46830.36</f>
        <v>46984.76</v>
      </c>
      <c r="I526" s="18">
        <f>2275.94+585.66</f>
        <v>2861.6</v>
      </c>
      <c r="J526" s="18">
        <f>274.4</f>
        <v>274.39999999999998</v>
      </c>
      <c r="K526" s="18"/>
      <c r="L526" s="88">
        <f>SUM(F526:K526)</f>
        <v>327247.61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22938.26+18808.72</f>
        <v>41746.979999999996</v>
      </c>
      <c r="G527" s="18">
        <f>13057.98+11014.16</f>
        <v>24072.14</v>
      </c>
      <c r="H527" s="18">
        <f>124.3+37702.41</f>
        <v>37826.710000000006</v>
      </c>
      <c r="I527" s="18">
        <f>1832.32+471.5</f>
        <v>2303.8199999999997</v>
      </c>
      <c r="J527" s="18">
        <f>220.93</f>
        <v>220.93</v>
      </c>
      <c r="K527" s="18"/>
      <c r="L527" s="88">
        <f>SUM(F527:K527)</f>
        <v>106170.57999999999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20523.71+16828.86</f>
        <v>37352.57</v>
      </c>
      <c r="G528" s="18">
        <f>11683.46+9854.77</f>
        <v>21538.23</v>
      </c>
      <c r="H528" s="18">
        <f>111.22+33733.73</f>
        <v>33844.950000000004</v>
      </c>
      <c r="I528" s="18">
        <f>1639.44+421.87</f>
        <v>2061.31</v>
      </c>
      <c r="J528" s="18">
        <f>197.67</f>
        <v>197.67</v>
      </c>
      <c r="K528" s="18"/>
      <c r="L528" s="88">
        <f>SUM(F528:K528)</f>
        <v>94994.73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246105.71999999997</v>
      </c>
      <c r="G529" s="89">
        <f t="shared" ref="G529:L529" si="37">SUM(G526:G528)</f>
        <v>155731.05000000002</v>
      </c>
      <c r="H529" s="89">
        <f t="shared" si="37"/>
        <v>118656.42000000001</v>
      </c>
      <c r="I529" s="89">
        <f t="shared" si="37"/>
        <v>7226.73</v>
      </c>
      <c r="J529" s="89">
        <f t="shared" si="37"/>
        <v>693</v>
      </c>
      <c r="K529" s="89">
        <f t="shared" si="37"/>
        <v>0</v>
      </c>
      <c r="L529" s="89">
        <f t="shared" si="37"/>
        <v>528412.91999999993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43118.57</f>
        <v>43118.57</v>
      </c>
      <c r="G531" s="18">
        <f>24754.71</f>
        <v>24754.71</v>
      </c>
      <c r="H531" s="18">
        <f>687.17</f>
        <v>687.17</v>
      </c>
      <c r="I531" s="18"/>
      <c r="J531" s="18"/>
      <c r="K531" s="18"/>
      <c r="L531" s="88">
        <f>SUM(F531:K531)</f>
        <v>68560.45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34714.11</f>
        <v>34714.11</v>
      </c>
      <c r="G532" s="18">
        <f>19929.64</f>
        <v>19929.64</v>
      </c>
      <c r="H532" s="18">
        <f>553.22</f>
        <v>553.22</v>
      </c>
      <c r="I532" s="18"/>
      <c r="J532" s="18"/>
      <c r="K532" s="18"/>
      <c r="L532" s="88">
        <f>SUM(F532:K532)</f>
        <v>55196.97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31059.99</f>
        <v>31059.99</v>
      </c>
      <c r="G533" s="18">
        <f>17831.78</f>
        <v>17831.78</v>
      </c>
      <c r="H533" s="18">
        <f>495</f>
        <v>495</v>
      </c>
      <c r="I533" s="18"/>
      <c r="J533" s="18"/>
      <c r="K533" s="18"/>
      <c r="L533" s="88">
        <f>SUM(F533:K533)</f>
        <v>49386.770000000004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108892.67</v>
      </c>
      <c r="G534" s="89">
        <f t="shared" ref="G534:L534" si="38">SUM(G531:G533)</f>
        <v>62516.13</v>
      </c>
      <c r="H534" s="89">
        <f t="shared" si="38"/>
        <v>1735.3899999999999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173144.19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3908.28</f>
        <v>3908.28</v>
      </c>
      <c r="I536" s="18"/>
      <c r="J536" s="18"/>
      <c r="K536" s="18"/>
      <c r="L536" s="88">
        <f>SUM(F536:K536)</f>
        <v>3908.28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3146.5</f>
        <v>3146.5</v>
      </c>
      <c r="I537" s="18"/>
      <c r="J537" s="18"/>
      <c r="K537" s="18"/>
      <c r="L537" s="88">
        <f>SUM(F537:K537)</f>
        <v>3146.5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2815.28</f>
        <v>2815.28</v>
      </c>
      <c r="I538" s="18"/>
      <c r="J538" s="18"/>
      <c r="K538" s="18"/>
      <c r="L538" s="88">
        <f>SUM(F538:K538)</f>
        <v>2815.28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9870.0600000000013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9870.0600000000013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127331.89</f>
        <v>127331.89</v>
      </c>
      <c r="I541" s="18"/>
      <c r="J541" s="18"/>
      <c r="K541" s="18"/>
      <c r="L541" s="88">
        <f>SUM(F541:K541)</f>
        <v>127331.89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64011.42</f>
        <v>64011.42</v>
      </c>
      <c r="I542" s="18"/>
      <c r="J542" s="18"/>
      <c r="K542" s="18"/>
      <c r="L542" s="88">
        <f>SUM(F542:K542)</f>
        <v>64011.42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168763.31</f>
        <v>168763.31</v>
      </c>
      <c r="I543" s="18"/>
      <c r="J543" s="18"/>
      <c r="K543" s="18"/>
      <c r="L543" s="88">
        <f>SUM(F543:K543)</f>
        <v>168763.31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360106.62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360106.62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2261016.8499999996</v>
      </c>
      <c r="G545" s="89">
        <f t="shared" ref="G545:L545" si="41">G524+G529+G534+G539+G544</f>
        <v>1608618.51</v>
      </c>
      <c r="H545" s="89">
        <f t="shared" si="41"/>
        <v>2127102.8299999996</v>
      </c>
      <c r="I545" s="89">
        <f t="shared" si="41"/>
        <v>29757.23</v>
      </c>
      <c r="J545" s="89">
        <f t="shared" si="41"/>
        <v>8028.63</v>
      </c>
      <c r="K545" s="89">
        <f t="shared" si="41"/>
        <v>34243.340000000004</v>
      </c>
      <c r="L545" s="89">
        <f t="shared" si="41"/>
        <v>6068767.3899999997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1896367.52</v>
      </c>
      <c r="G549" s="87">
        <f>L526</f>
        <v>327247.61</v>
      </c>
      <c r="H549" s="87">
        <f>L531</f>
        <v>68560.45</v>
      </c>
      <c r="I549" s="87">
        <f>L536</f>
        <v>3908.28</v>
      </c>
      <c r="J549" s="87">
        <f>L541</f>
        <v>127331.89</v>
      </c>
      <c r="K549" s="87">
        <f>SUM(F549:J549)</f>
        <v>2423415.75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1600450.49</v>
      </c>
      <c r="G550" s="87">
        <f>L527</f>
        <v>106170.57999999999</v>
      </c>
      <c r="H550" s="87">
        <f>L532</f>
        <v>55196.97</v>
      </c>
      <c r="I550" s="87">
        <f>L537</f>
        <v>3146.5</v>
      </c>
      <c r="J550" s="87">
        <f>L542</f>
        <v>64011.42</v>
      </c>
      <c r="K550" s="87">
        <f>SUM(F550:J550)</f>
        <v>1828975.96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1500415.5899999999</v>
      </c>
      <c r="G551" s="87">
        <f>L528</f>
        <v>94994.73</v>
      </c>
      <c r="H551" s="87">
        <f>L533</f>
        <v>49386.770000000004</v>
      </c>
      <c r="I551" s="87">
        <f>L538</f>
        <v>2815.28</v>
      </c>
      <c r="J551" s="87">
        <f>L543</f>
        <v>168763.31</v>
      </c>
      <c r="K551" s="87">
        <f>SUM(F551:J551)</f>
        <v>1816375.68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4997233.5999999996</v>
      </c>
      <c r="G552" s="89">
        <f t="shared" si="42"/>
        <v>528412.91999999993</v>
      </c>
      <c r="H552" s="89">
        <f t="shared" si="42"/>
        <v>173144.19</v>
      </c>
      <c r="I552" s="89">
        <f t="shared" si="42"/>
        <v>9870.0600000000013</v>
      </c>
      <c r="J552" s="89">
        <f t="shared" si="42"/>
        <v>360106.62</v>
      </c>
      <c r="K552" s="89">
        <f t="shared" si="42"/>
        <v>6068767.3899999997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5502.07</v>
      </c>
      <c r="G562" s="18">
        <v>415.58</v>
      </c>
      <c r="H562" s="18"/>
      <c r="I562" s="18">
        <v>246.34</v>
      </c>
      <c r="J562" s="18"/>
      <c r="K562" s="18"/>
      <c r="L562" s="88">
        <f>SUM(F562:K562)</f>
        <v>6163.99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4408.08</v>
      </c>
      <c r="G563" s="18">
        <v>332.95</v>
      </c>
      <c r="H563" s="18"/>
      <c r="I563" s="18">
        <v>197.36</v>
      </c>
      <c r="J563" s="18"/>
      <c r="K563" s="18"/>
      <c r="L563" s="88">
        <f>SUM(F563:K563)</f>
        <v>4938.3899999999994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4540.6499999999996</v>
      </c>
      <c r="G564" s="18">
        <v>342.96</v>
      </c>
      <c r="H564" s="18"/>
      <c r="I564" s="18">
        <v>203.3</v>
      </c>
      <c r="J564" s="18"/>
      <c r="K564" s="18"/>
      <c r="L564" s="88">
        <f>SUM(F564:K564)</f>
        <v>5086.91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14450.8</v>
      </c>
      <c r="G565" s="89">
        <f t="shared" si="44"/>
        <v>1091.49</v>
      </c>
      <c r="H565" s="89">
        <f t="shared" si="44"/>
        <v>0</v>
      </c>
      <c r="I565" s="89">
        <f t="shared" si="44"/>
        <v>647</v>
      </c>
      <c r="J565" s="89">
        <f t="shared" si="44"/>
        <v>0</v>
      </c>
      <c r="K565" s="89">
        <f t="shared" si="44"/>
        <v>0</v>
      </c>
      <c r="L565" s="89">
        <f t="shared" si="44"/>
        <v>16189.289999999999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14450.8</v>
      </c>
      <c r="G571" s="89">
        <f t="shared" ref="G571:L571" si="46">G560+G565+G570</f>
        <v>1091.49</v>
      </c>
      <c r="H571" s="89">
        <f t="shared" si="46"/>
        <v>0</v>
      </c>
      <c r="I571" s="89">
        <f t="shared" si="46"/>
        <v>647</v>
      </c>
      <c r="J571" s="89">
        <f t="shared" si="46"/>
        <v>0</v>
      </c>
      <c r="K571" s="89">
        <f t="shared" si="46"/>
        <v>0</v>
      </c>
      <c r="L571" s="89">
        <f t="shared" si="46"/>
        <v>16189.289999999999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545</v>
      </c>
      <c r="I575" s="87">
        <f>SUM(F575:H575)</f>
        <v>545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44493.64</v>
      </c>
      <c r="G579" s="18"/>
      <c r="H579" s="18">
        <v>450</v>
      </c>
      <c r="I579" s="87">
        <f t="shared" si="47"/>
        <v>44943.64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42828</v>
      </c>
      <c r="G582" s="18">
        <v>398941.77</v>
      </c>
      <c r="H582" s="18">
        <v>275957.76000000001</v>
      </c>
      <c r="I582" s="87">
        <f t="shared" si="47"/>
        <v>717727.53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134995</v>
      </c>
      <c r="I584" s="87">
        <f t="shared" si="47"/>
        <v>134995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151492</v>
      </c>
      <c r="I591" s="18">
        <v>151492</v>
      </c>
      <c r="J591" s="18">
        <v>113619</v>
      </c>
      <c r="K591" s="104">
        <f t="shared" ref="K591:K597" si="48">SUM(H591:J591)</f>
        <v>416603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60621.82+66710.07</f>
        <v>127331.89000000001</v>
      </c>
      <c r="I592" s="18">
        <f>48497.45+15513.97</f>
        <v>64011.42</v>
      </c>
      <c r="J592" s="18">
        <f>145492.35+23270.96</f>
        <v>168763.31</v>
      </c>
      <c r="K592" s="104">
        <f t="shared" si="48"/>
        <v>360106.62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52075</v>
      </c>
      <c r="K593" s="104">
        <f t="shared" si="48"/>
        <v>52075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5879.11</v>
      </c>
      <c r="J594" s="18">
        <v>30215.42</v>
      </c>
      <c r="K594" s="104">
        <f t="shared" si="48"/>
        <v>36094.53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3615.42</v>
      </c>
      <c r="I595" s="18">
        <v>3808.96</v>
      </c>
      <c r="J595" s="18">
        <v>6796.43</v>
      </c>
      <c r="K595" s="104">
        <f t="shared" si="48"/>
        <v>14220.810000000001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14870.37</v>
      </c>
      <c r="I597" s="18">
        <v>14870.37</v>
      </c>
      <c r="J597" s="18">
        <v>14870.37</v>
      </c>
      <c r="K597" s="104">
        <f t="shared" si="48"/>
        <v>44611.11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297309.68</v>
      </c>
      <c r="I598" s="108">
        <f>SUM(I591:I597)</f>
        <v>240061.85999999996</v>
      </c>
      <c r="J598" s="108">
        <f>SUM(J591:J597)</f>
        <v>386339.52999999997</v>
      </c>
      <c r="K598" s="108">
        <f>SUM(K591:K597)</f>
        <v>923711.07000000007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20370.42+8869.82+1236.71</f>
        <v>30476.949999999997</v>
      </c>
      <c r="I604" s="18">
        <f>26530.95+7106.2+1236.7</f>
        <v>34873.85</v>
      </c>
      <c r="J604" s="18">
        <f>29902.67+7319.91+1236.71</f>
        <v>38459.29</v>
      </c>
      <c r="K604" s="104">
        <f>SUM(H604:J604)</f>
        <v>103810.09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30476.949999999997</v>
      </c>
      <c r="I605" s="108">
        <f>SUM(I602:I604)</f>
        <v>34873.85</v>
      </c>
      <c r="J605" s="108">
        <f>SUM(J602:J604)</f>
        <v>38459.29</v>
      </c>
      <c r="K605" s="108">
        <f>SUM(K602:K604)</f>
        <v>103810.09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1720</v>
      </c>
      <c r="G612" s="18">
        <f>131.58+269.52</f>
        <v>401.1</v>
      </c>
      <c r="H612" s="18"/>
      <c r="I612" s="18"/>
      <c r="J612" s="18"/>
      <c r="K612" s="18"/>
      <c r="L612" s="88">
        <f>SUM(F612:K612)</f>
        <v>2121.1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20100</v>
      </c>
      <c r="G613" s="18">
        <f>1566.34+3208.41</f>
        <v>4774.75</v>
      </c>
      <c r="H613" s="18"/>
      <c r="I613" s="18"/>
      <c r="J613" s="18"/>
      <c r="K613" s="18"/>
      <c r="L613" s="88">
        <f>SUM(F613:K613)</f>
        <v>24874.75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21820</v>
      </c>
      <c r="G614" s="108">
        <f t="shared" si="49"/>
        <v>5175.8500000000004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26995.85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1870795.3099999998</v>
      </c>
      <c r="H617" s="109">
        <f>SUM(F52)</f>
        <v>1870795.3099999998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17022.53</v>
      </c>
      <c r="H618" s="109">
        <f>SUM(G52)</f>
        <v>17022.53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149226.64000000001</v>
      </c>
      <c r="H619" s="109">
        <f>SUM(H52)</f>
        <v>149226.64000000001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652193.05000000005</v>
      </c>
      <c r="H621" s="109">
        <f>SUM(J52)</f>
        <v>652193.05000000005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1088712.6199999999</v>
      </c>
      <c r="H622" s="109">
        <f>F476</f>
        <v>1088712.620000001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652193.05000000005</v>
      </c>
      <c r="H626" s="109">
        <f>J476</f>
        <v>652193.05000000005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21930802.02</v>
      </c>
      <c r="H627" s="104">
        <f>SUM(F468)</f>
        <v>21930802.02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529105.80000000005</v>
      </c>
      <c r="H628" s="104">
        <f>SUM(G468)</f>
        <v>529105.80000000005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757134.81</v>
      </c>
      <c r="H629" s="104">
        <f>SUM(H468)</f>
        <v>757134.81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228276.95</v>
      </c>
      <c r="H631" s="104">
        <f>SUM(J468)</f>
        <v>228276.95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21593655.130000003</v>
      </c>
      <c r="H632" s="104">
        <f>SUM(F472)</f>
        <v>21593655.129999999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757134.80999999994</v>
      </c>
      <c r="H633" s="104">
        <f>SUM(H472)</f>
        <v>757134.81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185046.96</v>
      </c>
      <c r="H634" s="104">
        <f>I369</f>
        <v>185046.96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529105.80000000005</v>
      </c>
      <c r="H635" s="104">
        <f>SUM(G472)</f>
        <v>529105.80000000005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228276.95</v>
      </c>
      <c r="H637" s="164">
        <f>SUM(J468)</f>
        <v>228276.95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244043.34</v>
      </c>
      <c r="H638" s="164">
        <f>SUM(J472)</f>
        <v>244043.34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594964.99</v>
      </c>
      <c r="H639" s="104">
        <f>SUM(F461)</f>
        <v>594964.99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57228.06</v>
      </c>
      <c r="H641" s="104">
        <f>SUM(H461)</f>
        <v>57228.06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652193.05000000005</v>
      </c>
      <c r="H642" s="104">
        <f>SUM(I461)</f>
        <v>652193.05000000005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14276.95</v>
      </c>
      <c r="H644" s="104">
        <f>H408</f>
        <v>14276.95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214000</v>
      </c>
      <c r="H645" s="104">
        <f>G408</f>
        <v>214000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228276.95</v>
      </c>
      <c r="H646" s="104">
        <f>L408</f>
        <v>228276.95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923711.07000000007</v>
      </c>
      <c r="H647" s="104">
        <f>L208+L226+L244</f>
        <v>923711.07000000007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103810.09</v>
      </c>
      <c r="H648" s="104">
        <f>(J257+J338)-(J255+J336)</f>
        <v>103810.09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297309.68000000005</v>
      </c>
      <c r="H649" s="104">
        <f>H598</f>
        <v>297309.68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240061.86000000002</v>
      </c>
      <c r="H650" s="104">
        <f>I598</f>
        <v>240061.85999999996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386339.53</v>
      </c>
      <c r="H651" s="104">
        <f>J598</f>
        <v>386339.52999999997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38295.78</v>
      </c>
      <c r="H652" s="104">
        <f>K263+K345</f>
        <v>38295.78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214000</v>
      </c>
      <c r="H655" s="104">
        <f>K266+K347</f>
        <v>214000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7576681.8099999996</v>
      </c>
      <c r="G660" s="19">
        <f>(L229+L309+L359)</f>
        <v>6830216.8400000017</v>
      </c>
      <c r="H660" s="19">
        <f>(L247+L328+L360)</f>
        <v>7019151.9000000013</v>
      </c>
      <c r="I660" s="19">
        <f>SUM(F660:H660)</f>
        <v>21426050.550000004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89883.2392716209</v>
      </c>
      <c r="G661" s="19">
        <f>(L359/IF(SUM(L358:L360)=0,1,SUM(L358:L360))*(SUM(G97:G110)))</f>
        <v>97176.505883403297</v>
      </c>
      <c r="H661" s="19">
        <f>(L360/IF(SUM(L358:L360)=0,1,SUM(L358:L360))*(SUM(G97:G110)))</f>
        <v>91569.334844975805</v>
      </c>
      <c r="I661" s="19">
        <f>SUM(F661:H661)</f>
        <v>278629.08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297309.68000000005</v>
      </c>
      <c r="G662" s="19">
        <f>(L226+L306)-(J226+J306)</f>
        <v>240061.86000000002</v>
      </c>
      <c r="H662" s="19">
        <f>(L244+L325)-(J244+J325)</f>
        <v>386339.53</v>
      </c>
      <c r="I662" s="19">
        <f>SUM(F662:H662)</f>
        <v>923711.07000000007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117798.59</v>
      </c>
      <c r="G663" s="199">
        <f>SUM(G575:G587)+SUM(I602:I604)+L612</f>
        <v>435936.72</v>
      </c>
      <c r="H663" s="199">
        <f>SUM(H575:H587)+SUM(J602:J604)+L613</f>
        <v>475281.8</v>
      </c>
      <c r="I663" s="19">
        <f>SUM(F663:H663)</f>
        <v>1029017.1099999999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7071690.3007283788</v>
      </c>
      <c r="G664" s="19">
        <f>G660-SUM(G661:G663)</f>
        <v>6057041.7541165985</v>
      </c>
      <c r="H664" s="19">
        <f>H660-SUM(H661:H663)</f>
        <v>6065961.2351550255</v>
      </c>
      <c r="I664" s="19">
        <f>I660-SUM(I661:I663)</f>
        <v>19194693.290000007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493.88</v>
      </c>
      <c r="G665" s="248">
        <v>395.66</v>
      </c>
      <c r="H665" s="248">
        <v>407.58</v>
      </c>
      <c r="I665" s="19">
        <f>SUM(F665:H665)</f>
        <v>1297.1199999999999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14318.64</v>
      </c>
      <c r="G667" s="19">
        <f>ROUND(G664/G665,2)</f>
        <v>15308.7</v>
      </c>
      <c r="H667" s="19">
        <f>ROUND(H664/H665,2)</f>
        <v>14882.87</v>
      </c>
      <c r="I667" s="19">
        <f>ROUND(I664/I665,2)</f>
        <v>14797.93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-16.72</v>
      </c>
      <c r="I670" s="19">
        <f>SUM(F670:H670)</f>
        <v>-16.72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14318.64</v>
      </c>
      <c r="G672" s="19">
        <f>ROUND((G664+G669)/(G665+G670),2)</f>
        <v>15308.7</v>
      </c>
      <c r="H672" s="19">
        <f>ROUND((H664+H669)/(H665+H670),2)</f>
        <v>15519.52</v>
      </c>
      <c r="I672" s="19">
        <f>ROUND((I664+I669)/(I665+I670),2)</f>
        <v>14991.17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K47" sqref="K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RAYMOND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80" t="s">
        <v>783</v>
      </c>
      <c r="B3" s="280"/>
      <c r="C3" s="280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782</v>
      </c>
      <c r="C6" s="279"/>
    </row>
    <row r="7" spans="1:3" x14ac:dyDescent="0.2">
      <c r="A7" s="239" t="s">
        <v>785</v>
      </c>
      <c r="B7" s="277" t="s">
        <v>781</v>
      </c>
      <c r="C7" s="278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5398381.0600000005</v>
      </c>
      <c r="C9" s="229">
        <f>'DOE25'!G197+'DOE25'!G215+'DOE25'!G233+'DOE25'!G276+'DOE25'!G295+'DOE25'!G314</f>
        <v>2560692.8699999996</v>
      </c>
    </row>
    <row r="10" spans="1:3" x14ac:dyDescent="0.2">
      <c r="A10" t="s">
        <v>778</v>
      </c>
      <c r="B10" s="240">
        <v>4977080.62</v>
      </c>
      <c r="C10" s="240">
        <v>2416835.6</v>
      </c>
    </row>
    <row r="11" spans="1:3" x14ac:dyDescent="0.2">
      <c r="A11" t="s">
        <v>779</v>
      </c>
      <c r="B11" s="240">
        <v>115756.73</v>
      </c>
      <c r="C11" s="240">
        <v>67649.429999999993</v>
      </c>
    </row>
    <row r="12" spans="1:3" x14ac:dyDescent="0.2">
      <c r="A12" t="s">
        <v>780</v>
      </c>
      <c r="B12" s="240">
        <v>305543.71000000002</v>
      </c>
      <c r="C12" s="240">
        <v>76207.839999999997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5398381.0600000005</v>
      </c>
      <c r="C13" s="231">
        <f>SUM(C10:C12)</f>
        <v>2560692.87</v>
      </c>
    </row>
    <row r="14" spans="1:3" x14ac:dyDescent="0.2">
      <c r="B14" s="230"/>
      <c r="C14" s="230"/>
    </row>
    <row r="15" spans="1:3" x14ac:dyDescent="0.2">
      <c r="B15" s="279" t="s">
        <v>782</v>
      </c>
      <c r="C15" s="279"/>
    </row>
    <row r="16" spans="1:3" x14ac:dyDescent="0.2">
      <c r="A16" s="239" t="s">
        <v>786</v>
      </c>
      <c r="B16" s="277" t="s">
        <v>706</v>
      </c>
      <c r="C16" s="278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1920589.2600000002</v>
      </c>
      <c r="C18" s="229">
        <f>'DOE25'!G198+'DOE25'!G216+'DOE25'!G234+'DOE25'!G277+'DOE25'!G296+'DOE25'!G315</f>
        <v>1391471.9999999998</v>
      </c>
    </row>
    <row r="19" spans="1:3" x14ac:dyDescent="0.2">
      <c r="A19" t="s">
        <v>778</v>
      </c>
      <c r="B19" s="240">
        <v>1079510.6000000001</v>
      </c>
      <c r="C19" s="240">
        <v>582539.52000000002</v>
      </c>
    </row>
    <row r="20" spans="1:3" x14ac:dyDescent="0.2">
      <c r="A20" t="s">
        <v>779</v>
      </c>
      <c r="B20" s="240">
        <v>836006.16</v>
      </c>
      <c r="C20" s="240">
        <v>808544.42</v>
      </c>
    </row>
    <row r="21" spans="1:3" x14ac:dyDescent="0.2">
      <c r="A21" t="s">
        <v>780</v>
      </c>
      <c r="B21" s="240">
        <v>5072.5</v>
      </c>
      <c r="C21" s="240">
        <v>388.06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1920589.2600000002</v>
      </c>
      <c r="C22" s="231">
        <f>SUM(C19:C21)</f>
        <v>1391472</v>
      </c>
    </row>
    <row r="23" spans="1:3" x14ac:dyDescent="0.2">
      <c r="B23" s="230"/>
      <c r="C23" s="230"/>
    </row>
    <row r="24" spans="1:3" x14ac:dyDescent="0.2">
      <c r="B24" s="279" t="s">
        <v>782</v>
      </c>
      <c r="C24" s="279"/>
    </row>
    <row r="25" spans="1:3" x14ac:dyDescent="0.2">
      <c r="A25" s="239" t="s">
        <v>787</v>
      </c>
      <c r="B25" s="277" t="s">
        <v>707</v>
      </c>
      <c r="C25" s="278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 t="s">
        <v>286</v>
      </c>
      <c r="C28" s="240"/>
    </row>
    <row r="29" spans="1:3" x14ac:dyDescent="0.2">
      <c r="A29" t="s">
        <v>779</v>
      </c>
      <c r="B29" s="240" t="s">
        <v>286</v>
      </c>
      <c r="C29" s="240"/>
    </row>
    <row r="30" spans="1:3" x14ac:dyDescent="0.2">
      <c r="A30" t="s">
        <v>780</v>
      </c>
      <c r="B30" s="240" t="s">
        <v>286</v>
      </c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782</v>
      </c>
      <c r="C33" s="279"/>
    </row>
    <row r="34" spans="1:3" x14ac:dyDescent="0.2">
      <c r="A34" s="239" t="s">
        <v>788</v>
      </c>
      <c r="B34" s="277" t="s">
        <v>708</v>
      </c>
      <c r="C34" s="278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234608.51</v>
      </c>
      <c r="C36" s="235">
        <f>'DOE25'!G200+'DOE25'!G218+'DOE25'!G236+'DOE25'!G279+'DOE25'!G298+'DOE25'!G317</f>
        <v>46507.05</v>
      </c>
    </row>
    <row r="37" spans="1:3" x14ac:dyDescent="0.2">
      <c r="A37" t="s">
        <v>778</v>
      </c>
      <c r="B37" s="240">
        <v>90527.15</v>
      </c>
      <c r="C37" s="240">
        <v>20467.490000000002</v>
      </c>
    </row>
    <row r="38" spans="1:3" x14ac:dyDescent="0.2">
      <c r="A38" t="s">
        <v>779</v>
      </c>
      <c r="B38" s="240">
        <v>14695.5</v>
      </c>
      <c r="C38" s="240">
        <v>1108.75</v>
      </c>
    </row>
    <row r="39" spans="1:3" x14ac:dyDescent="0.2">
      <c r="A39" t="s">
        <v>780</v>
      </c>
      <c r="B39" s="240">
        <v>129385.86</v>
      </c>
      <c r="C39" s="240">
        <v>24930.81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234608.51</v>
      </c>
      <c r="C40" s="231">
        <f>SUM(C37:C39)</f>
        <v>46507.05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789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716</v>
      </c>
      <c r="B2" s="265" t="str">
        <f>'DOE25'!A2</f>
        <v>RAYMOND SCHOOL DISTRICT</v>
      </c>
      <c r="C2" s="181"/>
      <c r="D2" s="181" t="s">
        <v>791</v>
      </c>
      <c r="E2" s="181" t="s">
        <v>793</v>
      </c>
      <c r="F2" s="281" t="s">
        <v>820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13323130.039999999</v>
      </c>
      <c r="D5" s="20">
        <f>SUM('DOE25'!L197:L200)+SUM('DOE25'!L215:L218)+SUM('DOE25'!L233:L236)-F5-G5</f>
        <v>13255099.5</v>
      </c>
      <c r="E5" s="243"/>
      <c r="F5" s="255">
        <f>SUM('DOE25'!J197:J200)+SUM('DOE25'!J215:J218)+SUM('DOE25'!J233:J236)</f>
        <v>37019.619999999995</v>
      </c>
      <c r="G5" s="53">
        <f>SUM('DOE25'!K197:K200)+SUM('DOE25'!K215:K218)+SUM('DOE25'!K233:K236)</f>
        <v>31010.92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1344691.77</v>
      </c>
      <c r="D6" s="20">
        <f>'DOE25'!L202+'DOE25'!L220+'DOE25'!L238-F6-G6</f>
        <v>1344280.21</v>
      </c>
      <c r="E6" s="243"/>
      <c r="F6" s="255">
        <f>'DOE25'!J202+'DOE25'!J220+'DOE25'!J238</f>
        <v>411.56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610917.86</v>
      </c>
      <c r="D7" s="20">
        <f>'DOE25'!L203+'DOE25'!L221+'DOE25'!L239-F7-G7</f>
        <v>560199.29</v>
      </c>
      <c r="E7" s="243"/>
      <c r="F7" s="255">
        <f>'DOE25'!J203+'DOE25'!J221+'DOE25'!J239</f>
        <v>50718.569999999992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492061.82000000018</v>
      </c>
      <c r="D8" s="243"/>
      <c r="E8" s="20">
        <f>'DOE25'!L204+'DOE25'!L222+'DOE25'!L240-F8-G8-D9-D11</f>
        <v>468489.58000000019</v>
      </c>
      <c r="F8" s="255">
        <f>'DOE25'!J204+'DOE25'!J222+'DOE25'!J240</f>
        <v>0</v>
      </c>
      <c r="G8" s="53">
        <f>'DOE25'!K204+'DOE25'!K222+'DOE25'!K240</f>
        <v>23572.239999999998</v>
      </c>
      <c r="H8" s="259"/>
    </row>
    <row r="9" spans="1:9" x14ac:dyDescent="0.2">
      <c r="A9" s="32">
        <v>2310</v>
      </c>
      <c r="B9" t="s">
        <v>817</v>
      </c>
      <c r="C9" s="245">
        <f t="shared" si="0"/>
        <v>30550.39</v>
      </c>
      <c r="D9" s="244">
        <v>30550.39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16150</v>
      </c>
      <c r="D10" s="243"/>
      <c r="E10" s="244">
        <v>16150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243954.72</v>
      </c>
      <c r="D11" s="244">
        <v>243954.72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1274489.9699999997</v>
      </c>
      <c r="D12" s="20">
        <f>'DOE25'!L205+'DOE25'!L223+'DOE25'!L241-F12-G12</f>
        <v>1267098.9199999997</v>
      </c>
      <c r="E12" s="243"/>
      <c r="F12" s="255">
        <f>'DOE25'!J205+'DOE25'!J223+'DOE25'!J241</f>
        <v>0</v>
      </c>
      <c r="G12" s="53">
        <f>'DOE25'!K205+'DOE25'!K223+'DOE25'!K241</f>
        <v>7391.05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217420.69</v>
      </c>
      <c r="D13" s="243"/>
      <c r="E13" s="20">
        <f>'DOE25'!L206+'DOE25'!L224+'DOE25'!L242-F13-G13</f>
        <v>211973.34</v>
      </c>
      <c r="F13" s="255">
        <f>'DOE25'!J206+'DOE25'!J224+'DOE25'!J242</f>
        <v>0</v>
      </c>
      <c r="G13" s="53">
        <f>'DOE25'!K206+'DOE25'!K224+'DOE25'!K242</f>
        <v>5447.35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1695879.65</v>
      </c>
      <c r="D14" s="20">
        <f>'DOE25'!L207+'DOE25'!L225+'DOE25'!L243-F14-G14</f>
        <v>1683929.43</v>
      </c>
      <c r="E14" s="243"/>
      <c r="F14" s="255">
        <f>'DOE25'!J207+'DOE25'!J225+'DOE25'!J243</f>
        <v>11950.220000000001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923711.07000000007</v>
      </c>
      <c r="D15" s="20">
        <f>'DOE25'!L208+'DOE25'!L226+'DOE25'!L244-F15-G15</f>
        <v>923711.07000000007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2335.69</v>
      </c>
      <c r="D16" s="243"/>
      <c r="E16" s="20">
        <f>'DOE25'!L209+'DOE25'!L227+'DOE25'!L245-F16-G16</f>
        <v>2335.69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16814.77</v>
      </c>
      <c r="D19" s="20">
        <f>'DOE25'!L253-F19-G19</f>
        <v>16814.77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6892.91</v>
      </c>
      <c r="D22" s="243"/>
      <c r="E22" s="243"/>
      <c r="F22" s="255">
        <f>'DOE25'!L255+'DOE25'!L336</f>
        <v>6892.91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1158508</v>
      </c>
      <c r="D25" s="243"/>
      <c r="E25" s="243"/>
      <c r="F25" s="258"/>
      <c r="G25" s="256"/>
      <c r="H25" s="257">
        <f>'DOE25'!L260+'DOE25'!L261+'DOE25'!L341+'DOE25'!L342</f>
        <v>1158508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358142.17000000004</v>
      </c>
      <c r="D29" s="20">
        <f>'DOE25'!L358+'DOE25'!L359+'DOE25'!L360-'DOE25'!I367-F29-G29</f>
        <v>355798.00000000006</v>
      </c>
      <c r="E29" s="243"/>
      <c r="F29" s="255">
        <f>'DOE25'!J358+'DOE25'!J359+'DOE25'!J360</f>
        <v>1415.6699999999998</v>
      </c>
      <c r="G29" s="53">
        <f>'DOE25'!K358+'DOE25'!K359+'DOE25'!K360</f>
        <v>928.5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737801.08</v>
      </c>
      <c r="D31" s="20">
        <f>'DOE25'!L290+'DOE25'!L309+'DOE25'!L328+'DOE25'!L333+'DOE25'!L334+'DOE25'!L335-F31-G31</f>
        <v>734090.96</v>
      </c>
      <c r="E31" s="243"/>
      <c r="F31" s="255">
        <f>'DOE25'!J290+'DOE25'!J309+'DOE25'!J328+'DOE25'!J333+'DOE25'!J334+'DOE25'!J335</f>
        <v>3710.12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20415527.260000002</v>
      </c>
      <c r="E33" s="246">
        <f>SUM(E5:E31)</f>
        <v>698948.6100000001</v>
      </c>
      <c r="F33" s="246">
        <f>SUM(F5:F31)</f>
        <v>112118.66999999998</v>
      </c>
      <c r="G33" s="246">
        <f>SUM(G5:G31)</f>
        <v>68350.06</v>
      </c>
      <c r="H33" s="246">
        <f>SUM(H5:H31)</f>
        <v>1158508</v>
      </c>
    </row>
    <row r="35" spans="2:8" ht="12" thickBot="1" x14ac:dyDescent="0.25">
      <c r="B35" s="253" t="s">
        <v>846</v>
      </c>
      <c r="D35" s="254">
        <f>E33</f>
        <v>698948.6100000001</v>
      </c>
      <c r="E35" s="249"/>
    </row>
    <row r="36" spans="2:8" ht="12" thickTop="1" x14ac:dyDescent="0.2">
      <c r="B36" t="s">
        <v>814</v>
      </c>
      <c r="D36" s="20">
        <f>D33</f>
        <v>20415527.260000002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1713543.42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652193.05000000005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154709.48000000001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16922.53</v>
      </c>
      <c r="E12" s="95">
        <f>'DOE25'!H13</f>
        <v>149226.64000000001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2542.41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1870795.3099999998</v>
      </c>
      <c r="D18" s="41">
        <f>SUM(D8:D17)</f>
        <v>17022.53</v>
      </c>
      <c r="E18" s="41">
        <f>SUM(E8:E17)</f>
        <v>149226.64000000001</v>
      </c>
      <c r="F18" s="41">
        <f>SUM(F8:F17)</f>
        <v>0</v>
      </c>
      <c r="G18" s="41">
        <f>SUM(G8:G17)</f>
        <v>652193.05000000005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7732.84</v>
      </c>
      <c r="E21" s="95">
        <f>'DOE25'!H22</f>
        <v>146976.64000000001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607897.80999999994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87159.48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87025.4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9289.69</v>
      </c>
      <c r="E29" s="95">
        <f>'DOE25'!H30</f>
        <v>2250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782082.69</v>
      </c>
      <c r="D31" s="41">
        <f>SUM(D21:D30)</f>
        <v>17022.53</v>
      </c>
      <c r="E31" s="41">
        <f>SUM(E21:E30)</f>
        <v>149226.64000000001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175000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652193.05000000005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28078.67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835633.95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1088712.6199999999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652193.05000000005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1870795.3099999998</v>
      </c>
      <c r="D51" s="41">
        <f>D50+D31</f>
        <v>17022.53</v>
      </c>
      <c r="E51" s="41">
        <f>E50+E31</f>
        <v>149226.64000000001</v>
      </c>
      <c r="F51" s="41">
        <f>F50+F31</f>
        <v>0</v>
      </c>
      <c r="G51" s="41">
        <f>G50+G31</f>
        <v>652193.05000000005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13213500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33324.67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170.55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14276.95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265128.68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87165.49</v>
      </c>
      <c r="D61" s="95">
        <f>SUM('DOE25'!G98:G110)</f>
        <v>13500.4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120660.71</v>
      </c>
      <c r="D62" s="130">
        <f>SUM(D57:D61)</f>
        <v>278629.08</v>
      </c>
      <c r="E62" s="130">
        <f>SUM(E57:E61)</f>
        <v>0</v>
      </c>
      <c r="F62" s="130">
        <f>SUM(F57:F61)</f>
        <v>0</v>
      </c>
      <c r="G62" s="130">
        <f>SUM(G57:G61)</f>
        <v>14276.95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13334160.710000001</v>
      </c>
      <c r="D63" s="22">
        <f>D56+D62</f>
        <v>278629.08</v>
      </c>
      <c r="E63" s="22">
        <f>E56+E62</f>
        <v>0</v>
      </c>
      <c r="F63" s="22">
        <f>F56+F62</f>
        <v>0</v>
      </c>
      <c r="G63" s="22">
        <f>G56+G62</f>
        <v>14276.95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5582301.1100000003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1957535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10077.42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7549913.5300000003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356923.36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336508.67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18589.2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7130.9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712021.23</v>
      </c>
      <c r="D78" s="130">
        <f>SUM(D72:D77)</f>
        <v>7130.9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8261934.7599999998</v>
      </c>
      <c r="D81" s="130">
        <f>SUM(D79:D80)+D78+D70</f>
        <v>7130.9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315372.82</v>
      </c>
      <c r="D88" s="95">
        <f>SUM('DOE25'!G153:G161)</f>
        <v>205050.04</v>
      </c>
      <c r="E88" s="95">
        <f>SUM('DOE25'!H153:H161)</f>
        <v>757134.81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315372.82</v>
      </c>
      <c r="D91" s="131">
        <f>SUM(D85:D90)</f>
        <v>205050.04</v>
      </c>
      <c r="E91" s="131">
        <f>SUM(E85:E90)</f>
        <v>757134.81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38295.78</v>
      </c>
      <c r="E96" s="95">
        <f>'DOE25'!H179</f>
        <v>0</v>
      </c>
      <c r="F96" s="95">
        <f>'DOE25'!I179</f>
        <v>0</v>
      </c>
      <c r="G96" s="95">
        <f>'DOE25'!J179</f>
        <v>214000</v>
      </c>
    </row>
    <row r="97" spans="1:7" x14ac:dyDescent="0.2">
      <c r="A97" t="s">
        <v>757</v>
      </c>
      <c r="B97" s="32" t="s">
        <v>188</v>
      </c>
      <c r="C97" s="95">
        <f>SUM('DOE25'!F180:F181)</f>
        <v>19333.73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19333.73</v>
      </c>
      <c r="D103" s="86">
        <f>SUM(D93:D102)</f>
        <v>38295.78</v>
      </c>
      <c r="E103" s="86">
        <f>SUM(E93:E102)</f>
        <v>0</v>
      </c>
      <c r="F103" s="86">
        <f>SUM(F93:F102)</f>
        <v>0</v>
      </c>
      <c r="G103" s="86">
        <f>SUM(G93:G102)</f>
        <v>214000</v>
      </c>
    </row>
    <row r="104" spans="1:7" ht="12.75" thickTop="1" thickBot="1" x14ac:dyDescent="0.25">
      <c r="A104" s="33" t="s">
        <v>764</v>
      </c>
      <c r="C104" s="86">
        <f>C63+C81+C91+C103</f>
        <v>21930802.02</v>
      </c>
      <c r="D104" s="86">
        <f>D63+D81+D91+D103</f>
        <v>529105.80000000005</v>
      </c>
      <c r="E104" s="86">
        <f>E63+E81+E91+E103</f>
        <v>757134.81</v>
      </c>
      <c r="F104" s="86">
        <f>F63+F81+F91+F103</f>
        <v>0</v>
      </c>
      <c r="G104" s="86">
        <f>G63+G81+G103</f>
        <v>228276.95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8012436.790000001</v>
      </c>
      <c r="D109" s="24" t="s">
        <v>288</v>
      </c>
      <c r="E109" s="95">
        <f>('DOE25'!L276)+('DOE25'!L295)+('DOE25'!L314)</f>
        <v>253966.09000000003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4801835.6000000006</v>
      </c>
      <c r="D110" s="24" t="s">
        <v>288</v>
      </c>
      <c r="E110" s="95">
        <f>('DOE25'!L277)+('DOE25'!L296)+('DOE25'!L315)</f>
        <v>212595.16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134995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373862.65</v>
      </c>
      <c r="D112" s="24" t="s">
        <v>288</v>
      </c>
      <c r="E112" s="95">
        <f>+('DOE25'!L279)+('DOE25'!L298)+('DOE25'!L317)</f>
        <v>21831.989999999998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16814.77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13339944.810000001</v>
      </c>
      <c r="D115" s="86">
        <f>SUM(D109:D114)</f>
        <v>0</v>
      </c>
      <c r="E115" s="86">
        <f>SUM(E109:E114)</f>
        <v>488393.24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1344691.77</v>
      </c>
      <c r="D118" s="24" t="s">
        <v>288</v>
      </c>
      <c r="E118" s="95">
        <f>+('DOE25'!L281)+('DOE25'!L300)+('DOE25'!L319)</f>
        <v>211816.16999999998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610917.86</v>
      </c>
      <c r="D119" s="24" t="s">
        <v>288</v>
      </c>
      <c r="E119" s="95">
        <f>+('DOE25'!L282)+('DOE25'!L301)+('DOE25'!L320)</f>
        <v>37591.67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766566.93000000017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1274489.9699999997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217420.69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1695879.65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923711.07000000007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2335.69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529105.80000000005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6836013.6299999999</v>
      </c>
      <c r="D128" s="86">
        <f>SUM(D118:D127)</f>
        <v>529105.80000000005</v>
      </c>
      <c r="E128" s="86">
        <f>SUM(E118:E127)</f>
        <v>249407.83999999997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6892.91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729248.27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429259.73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19333.73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38295.78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225200.90000000002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3076.05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-14276.950000000012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1417696.6900000004</v>
      </c>
      <c r="D144" s="141">
        <f>SUM(D130:D143)</f>
        <v>0</v>
      </c>
      <c r="E144" s="141">
        <f>SUM(E130:E143)</f>
        <v>19333.73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21593655.130000003</v>
      </c>
      <c r="D145" s="86">
        <f>(D115+D128+D144)</f>
        <v>529105.80000000005</v>
      </c>
      <c r="E145" s="86">
        <f>(E115+E128+E144)</f>
        <v>757134.80999999994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8/05</v>
      </c>
      <c r="C152" s="152" t="str">
        <f>'DOE25'!G491</f>
        <v>8/14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8/25</v>
      </c>
      <c r="C153" s="152" t="str">
        <f>'DOE25'!G492</f>
        <v>8/24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13402490</v>
      </c>
      <c r="C154" s="137">
        <f>'DOE25'!G493</f>
        <v>1060000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5.0999999999999996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5090827.75</v>
      </c>
      <c r="C156" s="137">
        <f>'DOE25'!G495</f>
        <v>950000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6040827.75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619248.27</v>
      </c>
      <c r="C158" s="137">
        <f>'DOE25'!G497</f>
        <v>110000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729248.27</v>
      </c>
    </row>
    <row r="159" spans="1:9" x14ac:dyDescent="0.2">
      <c r="A159" s="22" t="s">
        <v>35</v>
      </c>
      <c r="B159" s="137">
        <f>'DOE25'!F498</f>
        <v>4471579.4800000004</v>
      </c>
      <c r="C159" s="137">
        <f>'DOE25'!G498</f>
        <v>840000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5311579.4800000004</v>
      </c>
    </row>
    <row r="160" spans="1:9" x14ac:dyDescent="0.2">
      <c r="A160" s="22" t="s">
        <v>36</v>
      </c>
      <c r="B160" s="137">
        <f>'DOE25'!F499</f>
        <v>4296348.5199999996</v>
      </c>
      <c r="C160" s="137">
        <f>'DOE25'!G499</f>
        <v>171360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4467708.5199999996</v>
      </c>
    </row>
    <row r="161" spans="1:7" x14ac:dyDescent="0.2">
      <c r="A161" s="22" t="s">
        <v>37</v>
      </c>
      <c r="B161" s="137">
        <f>'DOE25'!F500</f>
        <v>8767928</v>
      </c>
      <c r="C161" s="137">
        <f>'DOE25'!G500</f>
        <v>1011360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9779288</v>
      </c>
    </row>
    <row r="162" spans="1:7" x14ac:dyDescent="0.2">
      <c r="A162" s="22" t="s">
        <v>38</v>
      </c>
      <c r="B162" s="137">
        <f>'DOE25'!F501</f>
        <v>592893.43000000005</v>
      </c>
      <c r="C162" s="137">
        <f>'DOE25'!G501</f>
        <v>105000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697893.43</v>
      </c>
    </row>
    <row r="163" spans="1:7" x14ac:dyDescent="0.2">
      <c r="A163" s="22" t="s">
        <v>39</v>
      </c>
      <c r="B163" s="137">
        <f>'DOE25'!F502</f>
        <v>410594.57</v>
      </c>
      <c r="C163" s="137">
        <f>'DOE25'!G502</f>
        <v>40162.5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450757.07</v>
      </c>
    </row>
    <row r="164" spans="1:7" x14ac:dyDescent="0.2">
      <c r="A164" s="22" t="s">
        <v>246</v>
      </c>
      <c r="B164" s="137">
        <f>'DOE25'!F503</f>
        <v>1003488</v>
      </c>
      <c r="C164" s="137">
        <f>'DOE25'!G503</f>
        <v>145162.5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1148650.5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739</v>
      </c>
      <c r="B1" s="285"/>
      <c r="C1" s="285"/>
      <c r="D1" s="285"/>
    </row>
    <row r="2" spans="1:4" x14ac:dyDescent="0.2">
      <c r="A2" s="187" t="s">
        <v>716</v>
      </c>
      <c r="B2" s="186" t="str">
        <f>'DOE25'!A2</f>
        <v>RAYMOND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14319</v>
      </c>
    </row>
    <row r="5" spans="1:4" x14ac:dyDescent="0.2">
      <c r="B5" t="s">
        <v>703</v>
      </c>
      <c r="C5" s="179">
        <f>IF('DOE25'!G665+'DOE25'!G670=0,0,ROUND('DOE25'!G672,0))</f>
        <v>15309</v>
      </c>
    </row>
    <row r="6" spans="1:4" x14ac:dyDescent="0.2">
      <c r="B6" t="s">
        <v>62</v>
      </c>
      <c r="C6" s="179">
        <f>IF('DOE25'!H665+'DOE25'!H670=0,0,ROUND('DOE25'!H672,0))</f>
        <v>15520</v>
      </c>
    </row>
    <row r="7" spans="1:4" x14ac:dyDescent="0.2">
      <c r="B7" t="s">
        <v>704</v>
      </c>
      <c r="C7" s="179">
        <f>IF('DOE25'!I665+'DOE25'!I670=0,0,ROUND('DOE25'!I672,0))</f>
        <v>14991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8266403</v>
      </c>
      <c r="D10" s="182">
        <f>ROUND((C10/$C$28)*100,1)</f>
        <v>38.299999999999997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5014431</v>
      </c>
      <c r="D11" s="182">
        <f>ROUND((C11/$C$28)*100,1)</f>
        <v>23.2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134995</v>
      </c>
      <c r="D12" s="182">
        <f>ROUND((C12/$C$28)*100,1)</f>
        <v>0.6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395695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1556508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648510</v>
      </c>
      <c r="D16" s="182">
        <f t="shared" si="0"/>
        <v>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768903</v>
      </c>
      <c r="D17" s="182">
        <f t="shared" si="0"/>
        <v>3.6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1274490</v>
      </c>
      <c r="D18" s="182">
        <f t="shared" si="0"/>
        <v>5.9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217421</v>
      </c>
      <c r="D19" s="182">
        <f t="shared" si="0"/>
        <v>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1695880</v>
      </c>
      <c r="D20" s="182">
        <f t="shared" si="0"/>
        <v>7.9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923711</v>
      </c>
      <c r="D21" s="182">
        <f t="shared" si="0"/>
        <v>4.3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16815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429260</v>
      </c>
      <c r="D25" s="182">
        <f t="shared" si="0"/>
        <v>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250476.91999999998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21593498.920000002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6893</v>
      </c>
    </row>
    <row r="30" spans="1:4" x14ac:dyDescent="0.2">
      <c r="B30" s="187" t="s">
        <v>728</v>
      </c>
      <c r="C30" s="180">
        <f>SUM(C28:C29)</f>
        <v>21600391.920000002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729248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13213500</v>
      </c>
      <c r="D35" s="182">
        <f t="shared" ref="D35:D40" si="1">ROUND((C35/$C$41)*100,1)</f>
        <v>57.7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134937.65999999829</v>
      </c>
      <c r="D36" s="182">
        <f t="shared" si="1"/>
        <v>0.6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7539836</v>
      </c>
      <c r="D37" s="182">
        <f t="shared" si="1"/>
        <v>32.9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729230</v>
      </c>
      <c r="D38" s="182">
        <f t="shared" si="1"/>
        <v>3.2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1277558</v>
      </c>
      <c r="D39" s="182">
        <f t="shared" si="1"/>
        <v>5.6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22895061.659999996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11" sqref="B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769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766</v>
      </c>
      <c r="B2" s="297"/>
      <c r="C2" s="297"/>
      <c r="D2" s="297"/>
      <c r="E2" s="297"/>
      <c r="F2" s="294" t="str">
        <f>'DOE25'!A2</f>
        <v>RAYMOND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2" t="s">
        <v>770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2</v>
      </c>
      <c r="B5" s="219">
        <v>3</v>
      </c>
      <c r="C5" s="288" t="s">
        <v>917</v>
      </c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3</v>
      </c>
      <c r="B7" s="219">
        <v>24</v>
      </c>
      <c r="C7" s="288" t="s">
        <v>920</v>
      </c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 t="s">
        <v>921</v>
      </c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4</v>
      </c>
      <c r="B10" s="219">
        <v>4</v>
      </c>
      <c r="C10" s="288" t="s">
        <v>918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6</v>
      </c>
      <c r="B12" s="219">
        <v>8</v>
      </c>
      <c r="C12" s="288" t="s">
        <v>922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10</v>
      </c>
      <c r="B14" s="219">
        <v>6</v>
      </c>
      <c r="C14" s="288" t="s">
        <v>923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14</v>
      </c>
      <c r="B16" s="219">
        <v>10</v>
      </c>
      <c r="C16" s="288" t="s">
        <v>926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>
        <v>17</v>
      </c>
      <c r="B18" s="219">
        <v>13</v>
      </c>
      <c r="C18" s="288" t="s">
        <v>924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>
        <v>19</v>
      </c>
      <c r="B20" s="219">
        <v>6</v>
      </c>
      <c r="C20" s="288" t="s">
        <v>929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>
        <v>22</v>
      </c>
      <c r="B22" s="219">
        <v>14</v>
      </c>
      <c r="C22" s="288" t="s">
        <v>927</v>
      </c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>
        <v>22</v>
      </c>
      <c r="B24" s="219">
        <v>18</v>
      </c>
      <c r="C24" s="275" t="s">
        <v>928</v>
      </c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>
        <v>23</v>
      </c>
      <c r="B26" s="219">
        <v>7</v>
      </c>
      <c r="C26" s="275" t="s">
        <v>925</v>
      </c>
      <c r="D26" s="275"/>
      <c r="E26" s="275"/>
      <c r="F26" s="275"/>
      <c r="G26" s="275"/>
      <c r="H26" s="275"/>
      <c r="I26" s="275"/>
      <c r="J26" s="275"/>
      <c r="K26" s="275"/>
      <c r="L26" s="275"/>
      <c r="M26" s="27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847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AB0A" sheet="1" objects="1" scenarios="1"/>
  <mergeCells count="220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9:M29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2017-08-31T10:42:36Z</cp:lastPrinted>
  <dcterms:created xsi:type="dcterms:W3CDTF">1997-12-04T19:04:30Z</dcterms:created>
  <dcterms:modified xsi:type="dcterms:W3CDTF">2017-12-05T14:19:30Z</dcterms:modified>
</cp:coreProperties>
</file>