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800" windowHeight="124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10" i="12" l="1"/>
  <c r="C12" i="12"/>
  <c r="C11" i="12"/>
  <c r="B10" i="12"/>
  <c r="C19" i="12"/>
  <c r="C20" i="12"/>
  <c r="C21" i="12"/>
  <c r="B20" i="12"/>
  <c r="C37" i="12"/>
  <c r="C38" i="12"/>
  <c r="C39" i="12"/>
  <c r="B37" i="12"/>
  <c r="B39" i="12"/>
  <c r="C29" i="12"/>
  <c r="B30" i="12"/>
  <c r="J493" i="1" l="1"/>
  <c r="D9" i="13"/>
  <c r="J286" i="1"/>
  <c r="F277" i="1"/>
  <c r="F358" i="1" l="1"/>
  <c r="I358" i="1"/>
  <c r="G97" i="1"/>
  <c r="G469" i="1"/>
  <c r="G24" i="1"/>
  <c r="G14" i="1"/>
  <c r="G23" i="1"/>
  <c r="F582" i="1" l="1"/>
  <c r="F579" i="1"/>
  <c r="F521" i="1"/>
  <c r="F526" i="1"/>
  <c r="F531" i="1"/>
  <c r="F207" i="1"/>
  <c r="F206" i="1"/>
  <c r="F204" i="1"/>
  <c r="F203" i="1"/>
  <c r="F236" i="1"/>
  <c r="F198" i="1"/>
  <c r="F197" i="1"/>
  <c r="G251" i="1"/>
  <c r="F473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E111" i="2" s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79" i="1"/>
  <c r="C57" i="2" s="1"/>
  <c r="F94" i="1"/>
  <c r="F111" i="1"/>
  <c r="G111" i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H162" i="1"/>
  <c r="H169" i="1" s="1"/>
  <c r="I147" i="1"/>
  <c r="I162" i="1"/>
  <c r="L250" i="1"/>
  <c r="L332" i="1"/>
  <c r="E113" i="2" s="1"/>
  <c r="L254" i="1"/>
  <c r="L268" i="1"/>
  <c r="L269" i="1"/>
  <c r="L349" i="1"/>
  <c r="C26" i="10" s="1"/>
  <c r="L350" i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K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C58" i="2"/>
  <c r="E58" i="2"/>
  <c r="C59" i="2"/>
  <c r="D59" i="2"/>
  <c r="E59" i="2"/>
  <c r="F59" i="2"/>
  <c r="D60" i="2"/>
  <c r="D62" i="2" s="1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2" i="2"/>
  <c r="C113" i="2"/>
  <c r="C114" i="2"/>
  <c r="D115" i="2"/>
  <c r="F115" i="2"/>
  <c r="G115" i="2"/>
  <c r="E119" i="2"/>
  <c r="E120" i="2"/>
  <c r="E121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G620" i="1" s="1"/>
  <c r="F32" i="1"/>
  <c r="F52" i="1" s="1"/>
  <c r="G32" i="1"/>
  <c r="H32" i="1"/>
  <c r="I32" i="1"/>
  <c r="H617" i="1"/>
  <c r="G52" i="1"/>
  <c r="H618" i="1" s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I461" i="1" s="1"/>
  <c r="H642" i="1" s="1"/>
  <c r="F460" i="1"/>
  <c r="G460" i="1"/>
  <c r="H460" i="1"/>
  <c r="I460" i="1"/>
  <c r="F461" i="1"/>
  <c r="G461" i="1"/>
  <c r="H461" i="1"/>
  <c r="F470" i="1"/>
  <c r="G470" i="1"/>
  <c r="G476" i="1" s="1"/>
  <c r="H623" i="1" s="1"/>
  <c r="J623" i="1" s="1"/>
  <c r="H470" i="1"/>
  <c r="I470" i="1"/>
  <c r="I476" i="1" s="1"/>
  <c r="H625" i="1" s="1"/>
  <c r="J470" i="1"/>
  <c r="F474" i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I545" i="1" s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I571" i="1" s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J639" i="1" s="1"/>
  <c r="G640" i="1"/>
  <c r="H640" i="1"/>
  <c r="G641" i="1"/>
  <c r="J641" i="1" s="1"/>
  <c r="H641" i="1"/>
  <c r="G643" i="1"/>
  <c r="H643" i="1"/>
  <c r="J643" i="1" s="1"/>
  <c r="G644" i="1"/>
  <c r="G645" i="1"/>
  <c r="H645" i="1"/>
  <c r="J645" i="1" s="1"/>
  <c r="G650" i="1"/>
  <c r="G651" i="1"/>
  <c r="G652" i="1"/>
  <c r="H652" i="1"/>
  <c r="G653" i="1"/>
  <c r="H653" i="1"/>
  <c r="G654" i="1"/>
  <c r="H654" i="1"/>
  <c r="H655" i="1"/>
  <c r="F192" i="1"/>
  <c r="D18" i="2"/>
  <c r="F78" i="2"/>
  <c r="D91" i="2"/>
  <c r="G62" i="2"/>
  <c r="D19" i="13"/>
  <c r="C19" i="13" s="1"/>
  <c r="J617" i="1"/>
  <c r="E78" i="2"/>
  <c r="H112" i="1"/>
  <c r="K605" i="1"/>
  <c r="G648" i="1" s="1"/>
  <c r="L419" i="1"/>
  <c r="I169" i="1"/>
  <c r="J476" i="1"/>
  <c r="H626" i="1" s="1"/>
  <c r="F476" i="1"/>
  <c r="H622" i="1" s="1"/>
  <c r="J622" i="1" s="1"/>
  <c r="J140" i="1"/>
  <c r="G22" i="2"/>
  <c r="H140" i="1"/>
  <c r="F22" i="13"/>
  <c r="C22" i="13" s="1"/>
  <c r="J640" i="1"/>
  <c r="H192" i="1"/>
  <c r="F552" i="1"/>
  <c r="J655" i="1"/>
  <c r="L570" i="1"/>
  <c r="G36" i="2"/>
  <c r="A31" i="12" l="1"/>
  <c r="G164" i="2"/>
  <c r="G161" i="2"/>
  <c r="G157" i="2"/>
  <c r="G156" i="2"/>
  <c r="E31" i="2"/>
  <c r="H52" i="1"/>
  <c r="H619" i="1" s="1"/>
  <c r="J619" i="1" s="1"/>
  <c r="E122" i="2"/>
  <c r="G662" i="1"/>
  <c r="C21" i="10"/>
  <c r="H338" i="1"/>
  <c r="H352" i="1" s="1"/>
  <c r="E118" i="2"/>
  <c r="L328" i="1"/>
  <c r="F338" i="1"/>
  <c r="F352" i="1" s="1"/>
  <c r="L309" i="1"/>
  <c r="E110" i="2"/>
  <c r="G338" i="1"/>
  <c r="G352" i="1" s="1"/>
  <c r="F130" i="2"/>
  <c r="F144" i="2" s="1"/>
  <c r="F145" i="2" s="1"/>
  <c r="D31" i="2"/>
  <c r="J634" i="1"/>
  <c r="G661" i="1"/>
  <c r="D29" i="13"/>
  <c r="C29" i="13" s="1"/>
  <c r="L362" i="1"/>
  <c r="G635" i="1" s="1"/>
  <c r="J635" i="1" s="1"/>
  <c r="H661" i="1"/>
  <c r="J651" i="1"/>
  <c r="K598" i="1"/>
  <c r="G647" i="1" s="1"/>
  <c r="K571" i="1"/>
  <c r="J571" i="1"/>
  <c r="F571" i="1"/>
  <c r="L560" i="1"/>
  <c r="L571" i="1" s="1"/>
  <c r="J552" i="1"/>
  <c r="L544" i="1"/>
  <c r="H545" i="1"/>
  <c r="H552" i="1"/>
  <c r="K550" i="1"/>
  <c r="G552" i="1"/>
  <c r="K545" i="1"/>
  <c r="G545" i="1"/>
  <c r="L524" i="1"/>
  <c r="K551" i="1"/>
  <c r="A40" i="12"/>
  <c r="E16" i="13"/>
  <c r="D14" i="13"/>
  <c r="C14" i="13" s="1"/>
  <c r="C20" i="10"/>
  <c r="C123" i="2"/>
  <c r="C122" i="2"/>
  <c r="C121" i="2"/>
  <c r="C18" i="10"/>
  <c r="C17" i="10"/>
  <c r="C16" i="10"/>
  <c r="C119" i="2"/>
  <c r="D7" i="13"/>
  <c r="C7" i="13" s="1"/>
  <c r="C118" i="2"/>
  <c r="K257" i="1"/>
  <c r="K271" i="1" s="1"/>
  <c r="C13" i="10"/>
  <c r="C12" i="10"/>
  <c r="I257" i="1"/>
  <c r="I271" i="1" s="1"/>
  <c r="C110" i="2"/>
  <c r="H257" i="1"/>
  <c r="H271" i="1" s="1"/>
  <c r="C11" i="10"/>
  <c r="F257" i="1"/>
  <c r="F271" i="1" s="1"/>
  <c r="L211" i="1"/>
  <c r="L247" i="1"/>
  <c r="D5" i="13"/>
  <c r="C5" i="13" s="1"/>
  <c r="J257" i="1"/>
  <c r="J271" i="1" s="1"/>
  <c r="C109" i="2"/>
  <c r="G257" i="1"/>
  <c r="G271" i="1" s="1"/>
  <c r="L229" i="1"/>
  <c r="A13" i="12"/>
  <c r="C10" i="10"/>
  <c r="L270" i="1"/>
  <c r="C32" i="10"/>
  <c r="L256" i="1"/>
  <c r="F112" i="1"/>
  <c r="C91" i="2"/>
  <c r="F169" i="1"/>
  <c r="C16" i="13"/>
  <c r="E128" i="2"/>
  <c r="E13" i="13"/>
  <c r="C13" i="13" s="1"/>
  <c r="E8" i="13"/>
  <c r="C8" i="13" s="1"/>
  <c r="D12" i="13"/>
  <c r="C12" i="13" s="1"/>
  <c r="L290" i="1"/>
  <c r="L539" i="1"/>
  <c r="K503" i="1"/>
  <c r="L382" i="1"/>
  <c r="G636" i="1" s="1"/>
  <c r="J636" i="1" s="1"/>
  <c r="K352" i="1"/>
  <c r="E109" i="2"/>
  <c r="G81" i="2"/>
  <c r="C62" i="2"/>
  <c r="F661" i="1"/>
  <c r="C19" i="10"/>
  <c r="C15" i="10"/>
  <c r="G112" i="1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56" i="2"/>
  <c r="F662" i="1"/>
  <c r="I662" i="1" s="1"/>
  <c r="C81" i="2"/>
  <c r="D63" i="2"/>
  <c r="H25" i="13"/>
  <c r="E81" i="2"/>
  <c r="F81" i="2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E104" i="2" s="1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G140" i="1"/>
  <c r="F140" i="1"/>
  <c r="C36" i="10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J652" i="1"/>
  <c r="J642" i="1"/>
  <c r="G571" i="1"/>
  <c r="I434" i="1"/>
  <c r="G434" i="1"/>
  <c r="I663" i="1"/>
  <c r="C27" i="10"/>
  <c r="H660" i="1" l="1"/>
  <c r="H664" i="1" s="1"/>
  <c r="H667" i="1" s="1"/>
  <c r="G660" i="1"/>
  <c r="G664" i="1" s="1"/>
  <c r="G667" i="1" s="1"/>
  <c r="D31" i="13"/>
  <c r="C31" i="13" s="1"/>
  <c r="E115" i="2"/>
  <c r="E145" i="2" s="1"/>
  <c r="I661" i="1"/>
  <c r="J647" i="1"/>
  <c r="K552" i="1"/>
  <c r="L545" i="1"/>
  <c r="E33" i="13"/>
  <c r="D35" i="13" s="1"/>
  <c r="C128" i="2"/>
  <c r="H648" i="1"/>
  <c r="J648" i="1" s="1"/>
  <c r="F660" i="1"/>
  <c r="F664" i="1" s="1"/>
  <c r="F667" i="1" s="1"/>
  <c r="C115" i="2"/>
  <c r="L257" i="1"/>
  <c r="L271" i="1" s="1"/>
  <c r="G632" i="1" s="1"/>
  <c r="J632" i="1" s="1"/>
  <c r="C28" i="10"/>
  <c r="D22" i="10" s="1"/>
  <c r="C63" i="2"/>
  <c r="F193" i="1"/>
  <c r="G627" i="1" s="1"/>
  <c r="J627" i="1" s="1"/>
  <c r="C104" i="2"/>
  <c r="C39" i="10"/>
  <c r="F104" i="2"/>
  <c r="G104" i="2"/>
  <c r="L338" i="1"/>
  <c r="L352" i="1" s="1"/>
  <c r="G633" i="1" s="1"/>
  <c r="J633" i="1" s="1"/>
  <c r="C25" i="13"/>
  <c r="H33" i="13"/>
  <c r="L408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G672" i="1"/>
  <c r="C5" i="10" s="1"/>
  <c r="H672" i="1"/>
  <c r="C6" i="10" s="1"/>
  <c r="C145" i="2"/>
  <c r="F672" i="1"/>
  <c r="C4" i="10" s="1"/>
  <c r="I660" i="1"/>
  <c r="I664" i="1" s="1"/>
  <c r="I672" i="1" s="1"/>
  <c r="C7" i="10" s="1"/>
  <c r="D12" i="10"/>
  <c r="D27" i="10"/>
  <c r="D24" i="10"/>
  <c r="D18" i="10"/>
  <c r="D17" i="10"/>
  <c r="D26" i="10"/>
  <c r="D10" i="10"/>
  <c r="C30" i="10"/>
  <c r="D16" i="10"/>
  <c r="D23" i="10"/>
  <c r="D20" i="10"/>
  <c r="D15" i="10"/>
  <c r="D25" i="10"/>
  <c r="D19" i="10"/>
  <c r="D13" i="10"/>
  <c r="D11" i="10"/>
  <c r="D21" i="10"/>
  <c r="G637" i="1"/>
  <c r="J637" i="1" s="1"/>
  <c r="H646" i="1"/>
  <c r="J646" i="1" s="1"/>
  <c r="C41" i="10"/>
  <c r="D38" i="10" s="1"/>
  <c r="I667" i="1" l="1"/>
  <c r="D28" i="10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<sst xmlns="http://schemas.openxmlformats.org/spreadsheetml/2006/main" count="3971" uniqueCount="924">
  <si>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</si>
  <si>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</si>
  <si>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</si>
  <si>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</si>
  <si>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</si>
  <si>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</si>
  <si>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</si>
  <si>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</si>
  <si>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</si>
  <si>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</si>
  <si>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</si>
  <si>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</si>
  <si>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</si>
  <si>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</si>
  <si>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</si>
  <si>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</si>
  <si>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</si>
  <si>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</si>
  <si>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</si>
  <si>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</si>
  <si>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</si>
  <si>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</si>
  <si>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</si>
  <si>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</si>
  <si>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</si>
  <si>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</si>
  <si>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</si>
  <si>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</si>
  <si>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</si>
  <si>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</si>
  <si>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</si>
  <si>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</si>
  <si>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</si>
  <si>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</si>
  <si>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</si>
  <si>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</si>
  <si>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</si>
  <si>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</si>
  <si>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</si>
  <si>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</si>
  <si>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</si>
  <si>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</si>
  <si>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</si>
  <si>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</si>
  <si>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</si>
  <si>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</si>
  <si>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</si>
  <si>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</si>
  <si>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</si>
  <si>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</si>
  <si>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</si>
  <si>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</si>
  <si>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</si>
  <si>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</si>
  <si>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</si>
  <si>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</si>
  <si>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</si>
  <si>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</si>
  <si>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</si>
  <si>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</si>
  <si>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</si>
  <si>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</si>
  <si>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</si>
  <si>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</si>
  <si>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</si>
  <si>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</si>
  <si>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</si>
  <si>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</si>
  <si>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</si>
  <si>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</si>
  <si>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</si>
  <si>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</si>
  <si>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</si>
  <si>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</si>
  <si>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</si>
  <si>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</si>
  <si>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</si>
  <si>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</si>
  <si>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</si>
  <si>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</si>
  <si>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</si>
  <si>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</si>
  <si>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</si>
  <si>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</si>
  <si>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</si>
  <si>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</si>
  <si>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</si>
  <si>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</si>
  <si>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</si>
  <si>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</si>
  <si>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</si>
  <si>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</si>
  <si>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</si>
  <si>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</si>
  <si>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</si>
  <si>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</si>
  <si>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</si>
  <si>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</si>
  <si>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</si>
  <si>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</si>
  <si>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</si>
  <si>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</si>
  <si>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</si>
  <si>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</si>
  <si>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</si>
  <si>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</si>
  <si>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</si>
  <si>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</si>
  <si>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</si>
  <si>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</si>
  <si>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</si>
  <si>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</si>
  <si>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</si>
  <si>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</si>
  <si>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</si>
  <si>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</si>
  <si>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</si>
  <si>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</si>
  <si>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</si>
  <si>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</si>
  <si>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</si>
  <si>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</si>
  <si>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</si>
  <si>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</si>
  <si>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</si>
  <si>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</si>
  <si>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</si>
  <si>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</si>
  <si>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</si>
  <si>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</si>
  <si>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</si>
  <si>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</si>
  <si>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</si>
  <si>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</si>
  <si>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</si>
  <si>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</si>
  <si>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</si>
  <si>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</si>
  <si>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</si>
  <si>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</si>
  <si>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</si>
  <si>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</si>
  <si>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</si>
  <si>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</si>
  <si>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</si>
  <si>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</si>
  <si>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</si>
  <si>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</si>
  <si>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</si>
  <si>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</si>
  <si>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</si>
  <si>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</si>
  <si>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</si>
  <si>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</si>
  <si>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</si>
  <si>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</si>
  <si>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</si>
  <si>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</si>
  <si>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</si>
  <si>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</si>
  <si>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</si>
  <si>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</si>
  <si>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</si>
  <si>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</si>
  <si>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</si>
  <si>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</si>
  <si>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</si>
  <si>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</si>
  <si>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</si>
  <si>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</si>
  <si>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</si>
  <si>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</si>
  <si>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</si>
  <si>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</si>
  <si>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</si>
  <si>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</si>
  <si>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</si>
  <si>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</si>
  <si>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</si>
  <si>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</si>
  <si>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</si>
  <si>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</si>
  <si>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</si>
  <si>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</si>
  <si>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</si>
  <si>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</si>
  <si>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</si>
  <si>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</si>
  <si>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</si>
  <si>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</si>
  <si>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</si>
  <si>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</si>
  <si>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</si>
  <si>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</si>
  <si>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</si>
  <si>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</si>
  <si>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</si>
  <si>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</si>
  <si>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</si>
  <si>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</si>
  <si>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</si>
  <si>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</si>
  <si>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</si>
  <si>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</si>
  <si>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</si>
  <si>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</si>
  <si>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</si>
  <si>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</si>
  <si>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</si>
  <si>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</si>
  <si>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</si>
  <si>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</si>
  <si>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</si>
  <si>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</si>
  <si>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</si>
  <si>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</si>
  <si>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</si>
  <si>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</si>
  <si>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</si>
  <si>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</si>
  <si>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</si>
  <si>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</si>
  <si>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</si>
  <si>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</si>
  <si>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</si>
  <si>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</si>
  <si>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</si>
  <si>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</si>
  <si>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</si>
  <si>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</si>
  <si>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</si>
  <si>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</si>
  <si>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</si>
  <si>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</si>
  <si>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</si>
  <si>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</si>
  <si>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</si>
  <si>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</si>
  <si>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</si>
  <si>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</si>
  <si>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</si>
  <si>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</si>
  <si>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</si>
  <si>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</si>
  <si>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</si>
  <si>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</si>
  <si>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</si>
  <si>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</si>
  <si>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</si>
  <si>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</si>
  <si>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</si>
  <si>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</si>
  <si>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</si>
  <si>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</si>
  <si>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</si>
  <si>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</si>
  <si>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</si>
  <si>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</si>
  <si>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</si>
  <si>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</si>
  <si>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</si>
  <si>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</si>
  <si>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</si>
  <si>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</si>
  <si>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</si>
  <si>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</si>
  <si>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</si>
  <si>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</si>
  <si>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</si>
  <si>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</si>
  <si>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</si>
  <si>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</si>
  <si>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</si>
  <si>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</si>
  <si>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</si>
  <si>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</si>
  <si>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</si>
  <si>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</si>
  <si>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</si>
  <si>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</si>
  <si>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</si>
  <si>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</si>
  <si>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</si>
  <si>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</si>
  <si>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</si>
  <si>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</si>
  <si>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</si>
  <si>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</si>
  <si>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</si>
  <si>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</si>
  <si>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</si>
  <si>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</si>
  <si>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</si>
  <si>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</si>
  <si>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</si>
  <si>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</si>
  <si>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</si>
  <si>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</si>
  <si>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</si>
  <si>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</si>
  <si>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</si>
  <si>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</si>
  <si>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</si>
  <si>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</si>
  <si>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</si>
  <si>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</si>
  <si>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</si>
  <si>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</si>
  <si>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</si>
  <si>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</si>
  <si>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</si>
  <si>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</si>
  <si>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</si>
  <si>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</si>
  <si>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</si>
  <si>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</si>
  <si>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</si>
  <si>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</si>
  <si>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</si>
  <si>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</si>
  <si>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</si>
  <si>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</si>
  <si>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</si>
  <si>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</si>
  <si>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</si>
  <si>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</si>
  <si>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</si>
  <si>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</si>
  <si>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</si>
  <si>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</si>
  <si>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</si>
  <si>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</si>
  <si>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</si>
  <si>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</si>
  <si>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</si>
  <si>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</si>
  <si>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</si>
  <si>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</si>
  <si>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</si>
  <si>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</si>
  <si>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</si>
  <si>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</si>
  <si>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</si>
  <si>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</si>
  <si>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</si>
  <si>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</si>
  <si>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</si>
  <si>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</si>
  <si>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</si>
  <si>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</si>
  <si>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</si>
  <si>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</si>
  <si>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</si>
  <si>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</si>
  <si>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</si>
  <si>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</si>
  <si>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</si>
  <si>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</si>
  <si>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</si>
  <si>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</si>
  <si>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</si>
  <si>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</si>
  <si>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</si>
  <si>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</si>
  <si>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</si>
  <si>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</si>
  <si>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</si>
  <si>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</si>
  <si>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</si>
  <si>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</si>
  <si>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</si>
  <si>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</si>
  <si>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</si>
  <si>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</si>
  <si>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</si>
  <si>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</si>
  <si>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</si>
  <si>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</si>
  <si>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</si>
  <si>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</si>
  <si>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</si>
  <si>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</si>
  <si>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</si>
  <si>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</si>
  <si>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</si>
  <si>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</si>
  <si>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</si>
  <si>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</si>
  <si>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</si>
  <si>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</si>
  <si>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</si>
  <si>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</si>
  <si>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</si>
  <si>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</si>
  <si>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</si>
  <si>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</si>
  <si>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</si>
  <si>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</si>
  <si>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</si>
  <si>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</si>
  <si>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</si>
  <si>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</si>
  <si>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</si>
  <si>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</si>
  <si>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</si>
  <si>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</si>
  <si>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</si>
  <si>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</si>
  <si>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</si>
  <si>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</si>
  <si>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</si>
  <si>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</si>
  <si>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</si>
  <si>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</si>
  <si>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</si>
  <si>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</si>
  <si>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</si>
  <si>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</si>
  <si>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</si>
  <si>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</si>
  <si>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</si>
  <si>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</si>
  <si>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</si>
  <si>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</si>
  <si>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</si>
  <si>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</si>
  <si>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</si>
  <si>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</si>
  <si>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</si>
  <si>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</si>
  <si>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</si>
  <si>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</si>
  <si>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</si>
  <si>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</si>
  <si>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</si>
  <si>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</si>
  <si>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</si>
  <si>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</si>
  <si>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</si>
  <si>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</si>
  <si>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</si>
  <si>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</si>
  <si>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</si>
  <si>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</si>
  <si>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</si>
  <si>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</si>
  <si>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</si>
  <si>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</si>
  <si>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</si>
  <si>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</si>
  <si>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</si>
  <si>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</si>
  <si>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</si>
  <si>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</si>
  <si>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</si>
  <si>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</si>
  <si>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</si>
  <si>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</si>
  <si>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</si>
  <si>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</si>
  <si>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</si>
  <si>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</si>
  <si>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</si>
  <si>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</si>
  <si>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</si>
  <si>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</si>
  <si>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</si>
  <si>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</si>
  <si>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</si>
  <si>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</si>
  <si>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</si>
  <si>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</si>
  <si>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</si>
  <si>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</si>
  <si>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</si>
  <si>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</si>
  <si>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</si>
  <si>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</si>
  <si>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</si>
  <si>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</si>
  <si>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</si>
  <si>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</si>
  <si>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</si>
  <si>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</si>
  <si>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</si>
  <si>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</si>
  <si>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</si>
  <si>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</si>
  <si>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</si>
  <si>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</si>
  <si>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</si>
  <si>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</si>
  <si>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</si>
  <si>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</si>
  <si>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</si>
  <si>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</si>
  <si>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</si>
  <si>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</si>
  <si>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</si>
  <si>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</si>
  <si>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</si>
  <si>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</si>
  <si>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</si>
  <si>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</si>
  <si>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</si>
  <si>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</si>
  <si>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</si>
  <si>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</si>
  <si>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</si>
  <si>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</si>
  <si>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</si>
  <si>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</si>
  <si>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</si>
  <si>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</si>
  <si>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</si>
  <si>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</si>
  <si>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</si>
  <si>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</si>
  <si>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</si>
  <si>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</si>
  <si>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</si>
  <si>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</si>
  <si>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</si>
  <si>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</si>
  <si>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</si>
  <si>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</si>
  <si>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</si>
  <si>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</si>
  <si>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</si>
  <si>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</si>
  <si>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</si>
  <si>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</si>
  <si>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</si>
  <si>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</si>
  <si>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</si>
  <si>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</si>
  <si>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</si>
  <si>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</si>
  <si>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</si>
  <si>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</si>
  <si>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</si>
  <si>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</si>
  <si>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</si>
  <si>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</si>
  <si>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</si>
  <si>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</si>
  <si>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</si>
  <si>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</si>
  <si>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</si>
  <si>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</si>
  <si>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</si>
  <si>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</si>
  <si>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</si>
  <si>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</si>
  <si>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</si>
  <si>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</si>
  <si>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</si>
  <si>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</si>
  <si>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</si>
  <si>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</si>
  <si>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</si>
  <si>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</si>
  <si>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</si>
  <si>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</si>
  <si>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</si>
  <si>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</si>
  <si>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</si>
  <si>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</si>
  <si>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</si>
  <si>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</si>
  <si>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</si>
  <si>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</si>
  <si>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</si>
  <si>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</si>
  <si>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</si>
  <si>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</si>
  <si>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</si>
  <si>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</si>
  <si>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</si>
  <si>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</si>
  <si>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</si>
  <si>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</si>
  <si>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</si>
  <si>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</si>
  <si>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</si>
  <si>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</si>
  <si>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</si>
  <si>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</si>
  <si>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</si>
  <si>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</si>
  <si>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</si>
  <si>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</si>
  <si>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</si>
  <si>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</si>
  <si>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</si>
  <si>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</si>
  <si>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</si>
  <si>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</si>
  <si>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</si>
  <si>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</si>
  <si>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</si>
  <si>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</si>
  <si>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</si>
  <si>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</si>
  <si>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</si>
  <si>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</si>
  <si>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</si>
  <si>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</si>
  <si>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</si>
  <si>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</si>
  <si>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</si>
  <si>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</si>
  <si>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</si>
  <si>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</si>
  <si>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</si>
  <si>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</si>
  <si>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</si>
  <si>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</si>
  <si>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</si>
  <si>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</si>
  <si>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</si>
  <si>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</si>
  <si>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</si>
  <si>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</si>
  <si>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</si>
  <si>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</si>
  <si>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</si>
  <si>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</si>
  <si>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</si>
  <si>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</si>
  <si>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</si>
  <si>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</si>
  <si>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</si>
  <si>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</si>
  <si>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</si>
  <si>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</si>
  <si>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</si>
  <si>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</si>
  <si>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</si>
  <si>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</si>
  <si>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</si>
  <si>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</si>
  <si>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</si>
  <si>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</si>
  <si>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</si>
  <si>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</si>
  <si>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</si>
  <si>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</si>
  <si>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</si>
  <si>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</si>
  <si>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</si>
  <si>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</si>
  <si>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</si>
  <si>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</si>
  <si>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</si>
  <si>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</si>
  <si>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</si>
  <si>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</si>
  <si>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</si>
  <si>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</si>
  <si>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</si>
  <si>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</si>
  <si>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</si>
  <si>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</si>
  <si>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</si>
  <si>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</si>
  <si>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</si>
  <si>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</si>
  <si>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</si>
  <si>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</si>
  <si>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</si>
  <si>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</si>
  <si>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</si>
  <si>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</si>
  <si>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</si>
  <si>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</si>
  <si>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</si>
  <si>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</si>
  <si>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</si>
  <si>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</si>
  <si>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</si>
  <si>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</si>
  <si>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</si>
  <si>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</si>
  <si>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</si>
  <si>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</si>
  <si>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</si>
  <si>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</si>
  <si>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</si>
  <si>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</si>
  <si>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</si>
  <si>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</si>
  <si>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</si>
  <si>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</si>
  <si>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</si>
  <si>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</si>
  <si>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</si>
  <si>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</si>
  <si>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</si>
  <si>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</si>
  <si>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</si>
  <si>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</si>
  <si>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</si>
  <si>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</si>
  <si>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</si>
  <si>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</si>
  <si>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</si>
  <si>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</si>
  <si>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</si>
  <si>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</si>
  <si>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</si>
  <si>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</si>
  <si>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</si>
  <si>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</si>
  <si>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</si>
  <si>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</si>
  <si>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</si>
  <si>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</si>
  <si>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</si>
  <si>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</si>
  <si>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</si>
  <si>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</si>
  <si>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</si>
  <si>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</si>
  <si>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</si>
  <si>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</si>
  <si>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</si>
  <si>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</si>
  <si>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</si>
  <si>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</si>
  <si>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</si>
  <si>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</si>
  <si>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</si>
  <si>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</si>
  <si>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</si>
  <si>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</si>
  <si>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</si>
  <si>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</si>
  <si>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</si>
  <si>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</si>
  <si>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</si>
  <si>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</si>
  <si>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</si>
  <si>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</si>
  <si>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</si>
  <si>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</si>
  <si>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</si>
  <si>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</si>
  <si>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</si>
  <si>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</si>
  <si>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</si>
  <si>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</si>
  <si>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</si>
  <si>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</si>
  <si>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</si>
  <si>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</si>
  <si>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</si>
  <si>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</si>
  <si>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</si>
  <si>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</si>
  <si>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</si>
  <si>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</si>
  <si>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</si>
  <si>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</si>
  <si>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</si>
  <si>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</si>
  <si>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</si>
  <si>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</si>
  <si>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</si>
  <si>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</si>
  <si>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</si>
  <si>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</si>
  <si>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</si>
  <si>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</si>
  <si>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</si>
  <si>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</si>
  <si>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</si>
  <si>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</si>
  <si>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</si>
  <si>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</si>
  <si>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</si>
  <si>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</si>
  <si>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</si>
  <si>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</si>
  <si>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</si>
  <si>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</si>
  <si>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</si>
  <si>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</si>
  <si>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</si>
  <si>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</si>
  <si>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</si>
  <si>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</si>
  <si>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</si>
  <si>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</si>
  <si>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</si>
  <si>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</si>
  <si>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</si>
  <si>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</si>
  <si>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</si>
  <si>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</si>
  <si>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</si>
  <si>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</si>
  <si>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</si>
  <si>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</si>
  <si>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</si>
  <si>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</si>
  <si>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</si>
  <si>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</si>
  <si>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</si>
  <si>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</si>
  <si>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</si>
  <si>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</si>
  <si>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</si>
  <si>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</si>
  <si>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</si>
  <si>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</si>
  <si>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</si>
  <si>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</si>
  <si>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</si>
  <si>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</si>
  <si>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</si>
  <si>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</si>
  <si>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</si>
  <si>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</si>
  <si>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</si>
  <si>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</si>
  <si>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</si>
  <si>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</si>
  <si>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</si>
  <si>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</si>
  <si>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</si>
  <si>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</si>
  <si>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</si>
  <si>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</si>
  <si>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</si>
  <si>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</si>
  <si>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</si>
  <si>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</si>
  <si>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</si>
  <si>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</si>
  <si>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</si>
  <si>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</si>
  <si>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</si>
  <si>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</si>
  <si>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</si>
  <si>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</si>
  <si>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</si>
  <si>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</si>
  <si>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</si>
  <si>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</si>
  <si>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</si>
  <si>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</si>
  <si>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</si>
  <si>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</si>
  <si>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</si>
  <si>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</si>
  <si>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</si>
  <si>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</si>
  <si>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</si>
  <si>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</si>
  <si>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</si>
  <si>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</si>
  <si>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</si>
  <si>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</si>
  <si>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</si>
  <si>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</si>
  <si>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</si>
  <si>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</si>
  <si>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</si>
  <si>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</si>
  <si>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</si>
  <si>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</si>
  <si>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</si>
  <si>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</si>
  <si>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</si>
  <si>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</si>
  <si>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</si>
  <si>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</si>
  <si>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</si>
  <si>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</si>
  <si>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</si>
  <si>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</si>
  <si>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</si>
  <si>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</si>
  <si>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</si>
  <si>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</si>
  <si>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</si>
  <si>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</si>
  <si>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</si>
  <si>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</si>
  <si>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</si>
  <si>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</si>
  <si>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</si>
  <si>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</si>
  <si>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</si>
  <si>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</si>
  <si>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</si>
  <si>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</si>
  <si>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</si>
  <si>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</si>
  <si>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</si>
  <si>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</si>
  <si>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</si>
  <si>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</si>
  <si>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</si>
  <si>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</si>
  <si>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</si>
  <si>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</si>
  <si>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</si>
  <si>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</si>
  <si>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</si>
  <si>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</si>
  <si>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($ 119,759.31) is made up of a surplus of $266,469.80 in expenditures and a deficit in revenues of $386,229.11.  The City</t>
  </si>
  <si>
    <t>Council voted $373,727 to be used from Fund Balance which is not reflected in the revenue deficit.</t>
  </si>
  <si>
    <t>VARIES</t>
  </si>
  <si>
    <t>PRIOR T0 2020</t>
  </si>
  <si>
    <t>AFTER TO 2027</t>
  </si>
  <si>
    <t>3 Col. 2</t>
  </si>
  <si>
    <t>6 Col. 2</t>
  </si>
  <si>
    <t>7 Col. 1</t>
  </si>
  <si>
    <t xml:space="preserve">$19,865.68 is beginning inventory </t>
  </si>
  <si>
    <t>$119,397.60 represents the ending inventory of $125,260.37 and an audit adjustment from FY16 of $5,862.77.</t>
  </si>
  <si>
    <t>Rochester School Department</t>
  </si>
  <si>
    <t>Remaining amount to spend on current bonded projects  $16,800,000 for tech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</si>
</sst>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)"/>
    <numFmt numFmtId="165" formatCode="0_)"/>
    <numFmt numFmtId="166" formatCode="0.0%"/>
    <numFmt numFmtId="167" formatCode="0.0"/>
    <numFmt numFmtId="168" formatCode="m/d/yy;@"/>
    <numFmt numFmtId="169" formatCode="&quot;$&quot;#,##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168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4" t="s">
        <v>922</v>
      </c>
      <c r="B2" s="21">
        <v>461</v>
      </c>
      <c r="C2" s="21">
        <v>461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3" t="s">
        <v>280</v>
      </c>
      <c r="G6" s="223" t="s">
        <v>281</v>
      </c>
      <c r="H6" s="223" t="s">
        <v>282</v>
      </c>
      <c r="I6" s="223" t="s">
        <v>283</v>
      </c>
      <c r="J6" s="223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3"/>
      <c r="G7" s="224"/>
      <c r="H7" s="223" t="s">
        <v>771</v>
      </c>
      <c r="I7" s="224"/>
      <c r="J7" s="224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/>
      <c r="G9" s="18"/>
      <c r="H9" s="18"/>
      <c r="I9" s="18">
        <v>16981607.859999999</v>
      </c>
      <c r="J9" s="67">
        <f>SUM(I439)</f>
        <v>0</v>
      </c>
      <c r="K9" s="24" t="s">
        <v>288</v>
      </c>
      <c r="L9" s="24" t="s">
        <v>288</v>
      </c>
      <c r="M9" s="8"/>
      <c r="N9" s="270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0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0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>
        <v>74298.73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0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0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>
        <f>19243.85+144435.96</f>
        <v>163679.81</v>
      </c>
      <c r="H14" s="18">
        <v>671436.97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0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0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125260.37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0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0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0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0</v>
      </c>
      <c r="G19" s="41">
        <f>SUM(G9:G18)</f>
        <v>288940.18</v>
      </c>
      <c r="H19" s="41">
        <f>SUM(H9:H18)</f>
        <v>745735.7</v>
      </c>
      <c r="I19" s="41">
        <f>SUM(I9:I18)</f>
        <v>16981607.859999999</v>
      </c>
      <c r="J19" s="41">
        <f>SUM(J9:J18)</f>
        <v>0</v>
      </c>
      <c r="K19" s="45" t="s">
        <v>288</v>
      </c>
      <c r="L19" s="45" t="s">
        <v>288</v>
      </c>
      <c r="M19" s="8"/>
      <c r="N19" s="270"/>
    </row>
    <row r="20" spans="1:14" s="3" customFormat="1" ht="12" customHeight="1" x14ac:dyDescent="0.15">
      <c r="A20" s="1" t="s">
        <v>454</v>
      </c>
      <c r="C20" s="157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0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v>654146.89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0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>
        <f>68095.57+18275.77</f>
        <v>86371.340000000011</v>
      </c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0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/>
      <c r="G24" s="18">
        <f>968.08+77374.81</f>
        <v>78342.89</v>
      </c>
      <c r="H24" s="18">
        <v>19039.59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0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0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0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0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0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0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>
        <v>72549.22</v>
      </c>
      <c r="I30" s="18"/>
      <c r="J30" s="24" t="s">
        <v>288</v>
      </c>
      <c r="K30" s="24" t="s">
        <v>288</v>
      </c>
      <c r="L30" s="24" t="s">
        <v>288</v>
      </c>
      <c r="M30" s="8"/>
      <c r="N30" s="270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0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0</v>
      </c>
      <c r="G32" s="41">
        <f>SUM(G22:G31)</f>
        <v>164714.23000000001</v>
      </c>
      <c r="H32" s="41">
        <f>SUM(H22:H31)</f>
        <v>745735.7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0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0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0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30760.87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0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0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0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0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0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0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0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0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0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0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>
        <v>16981607.859999999</v>
      </c>
      <c r="J45" s="13">
        <f>I455</f>
        <v>0</v>
      </c>
      <c r="K45" s="24" t="s">
        <v>288</v>
      </c>
      <c r="L45" s="24" t="s">
        <v>288</v>
      </c>
      <c r="M45" s="8"/>
      <c r="N45" s="270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0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0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93465.08</v>
      </c>
      <c r="H48" s="18"/>
      <c r="I48" s="18"/>
      <c r="J48" s="13">
        <f>SUM(I459)</f>
        <v>0</v>
      </c>
      <c r="K48" s="24" t="s">
        <v>288</v>
      </c>
      <c r="L48" s="24" t="s">
        <v>288</v>
      </c>
      <c r="M48" s="8"/>
      <c r="N48" s="270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/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0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0</v>
      </c>
      <c r="G51" s="41">
        <f>SUM(G35:G50)</f>
        <v>124225.95</v>
      </c>
      <c r="H51" s="41">
        <f>SUM(H35:H50)</f>
        <v>0</v>
      </c>
      <c r="I51" s="41">
        <f>SUM(I35:I50)</f>
        <v>16981607.859999999</v>
      </c>
      <c r="J51" s="41">
        <f>SUM(J35:J50)</f>
        <v>0</v>
      </c>
      <c r="K51" s="45" t="s">
        <v>288</v>
      </c>
      <c r="L51" s="45" t="s">
        <v>288</v>
      </c>
      <c r="N51" s="268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0</v>
      </c>
      <c r="G52" s="41">
        <f>G51+G32</f>
        <v>288940.18</v>
      </c>
      <c r="H52" s="41">
        <f>H51+H32</f>
        <v>745735.7</v>
      </c>
      <c r="I52" s="41">
        <f>I51+I32</f>
        <v>16981607.859999999</v>
      </c>
      <c r="J52" s="41">
        <f>J51+J32</f>
        <v>0</v>
      </c>
      <c r="K52" s="45" t="s">
        <v>288</v>
      </c>
      <c r="L52" s="45" t="s">
        <v>288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0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0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0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27111215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0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0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1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27111215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1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0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0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11809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0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12439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0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1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0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0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1994305.45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0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16401.919999999998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0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18669.57</v>
      </c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0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0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0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0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0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0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0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0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68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2053624.94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0"/>
    </row>
    <row r="81" spans="1:14" s="3" customFormat="1" ht="12" customHeight="1" x14ac:dyDescent="0.2">
      <c r="A81" s="168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0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0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0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0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0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0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0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0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0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0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0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0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0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0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/>
      <c r="K96" s="24" t="s">
        <v>288</v>
      </c>
      <c r="L96" s="24" t="s">
        <v>288</v>
      </c>
      <c r="M96" s="8"/>
      <c r="N96" s="270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700124.59+15551.54</f>
        <v>715676.13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0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7866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0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>
        <v>24040</v>
      </c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0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0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3837.5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0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0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0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0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49498.080000000002</v>
      </c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0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0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0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0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0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27375.439999999999</v>
      </c>
      <c r="G110" s="18"/>
      <c r="H110" s="18"/>
      <c r="I110" s="18">
        <v>16981607.859999999</v>
      </c>
      <c r="J110" s="18"/>
      <c r="K110" s="24" t="s">
        <v>288</v>
      </c>
      <c r="L110" s="24" t="s">
        <v>288</v>
      </c>
      <c r="M110" s="8"/>
      <c r="N110" s="270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112617.02</v>
      </c>
      <c r="G111" s="41">
        <f>SUM(G96:G110)</f>
        <v>715676.13</v>
      </c>
      <c r="H111" s="41">
        <f>SUM(H96:H110)</f>
        <v>0</v>
      </c>
      <c r="I111" s="41">
        <f>SUM(I96:I110)</f>
        <v>16981607.859999999</v>
      </c>
      <c r="J111" s="41">
        <f>SUM(J96:J110)</f>
        <v>0</v>
      </c>
      <c r="K111" s="45" t="s">
        <v>288</v>
      </c>
      <c r="L111" s="45" t="s">
        <v>288</v>
      </c>
      <c r="N111" s="268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29277456.960000001</v>
      </c>
      <c r="G112" s="41">
        <f>G60+G111</f>
        <v>715676.13</v>
      </c>
      <c r="H112" s="41">
        <f>H60+H79+H94+H111</f>
        <v>0</v>
      </c>
      <c r="I112" s="41">
        <f>I60+I111</f>
        <v>16981607.859999999</v>
      </c>
      <c r="J112" s="41">
        <f>J60+J111</f>
        <v>0</v>
      </c>
      <c r="K112" s="45" t="s">
        <v>288</v>
      </c>
      <c r="L112" s="45" t="s">
        <v>288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0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22751322.289999999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0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4825327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0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0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728.03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0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27577377.32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0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0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126132.5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0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0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448177.01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0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19656.68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0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10007.200000000001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0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0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0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0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29953.52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0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0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>
        <v>69606.97</v>
      </c>
      <c r="H135" s="18"/>
      <c r="I135" s="18"/>
      <c r="J135" s="18"/>
      <c r="K135" s="24" t="s">
        <v>288</v>
      </c>
      <c r="L135" s="24" t="s">
        <v>288</v>
      </c>
      <c r="M135" s="8"/>
      <c r="N135" s="270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603973.39</v>
      </c>
      <c r="G136" s="41">
        <f>SUM(G123:G135)</f>
        <v>99560.49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0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0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0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0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28181350.710000001</v>
      </c>
      <c r="G140" s="41">
        <f>G121+SUM(G136:G137)</f>
        <v>99560.49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2" t="s">
        <v>771</v>
      </c>
      <c r="I143" s="16" t="s">
        <v>283</v>
      </c>
      <c r="J143" s="16" t="s">
        <v>284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0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>
        <v>66151.600000000006</v>
      </c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0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>
        <v>6169.7</v>
      </c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0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66151.600000000006</v>
      </c>
      <c r="G147" s="41">
        <f>SUM(G145:G146)</f>
        <v>6169.7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0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0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0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0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0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0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0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1959553.1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0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237454.59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0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96054.77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0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>
        <v>34374.69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0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994456.31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0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1220991.78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0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1256844.1100000001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0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91006.07</v>
      </c>
      <c r="I161" s="18"/>
      <c r="J161" s="24" t="s">
        <v>288</v>
      </c>
      <c r="K161" s="24" t="s">
        <v>288</v>
      </c>
      <c r="L161" s="24" t="s">
        <v>288</v>
      </c>
      <c r="M161" s="8"/>
      <c r="N161" s="270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1256844.1100000001</v>
      </c>
      <c r="G162" s="41">
        <f>SUM(G150:G161)</f>
        <v>994456.31</v>
      </c>
      <c r="H162" s="41">
        <f>SUM(H150:H161)</f>
        <v>3639434.9999999995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0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0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0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0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0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0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>
        <v>90891.04</v>
      </c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0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1413886.7500000002</v>
      </c>
      <c r="G169" s="41">
        <f>G147+G162+SUM(G163:G168)</f>
        <v>1000626.01</v>
      </c>
      <c r="H169" s="41">
        <f>H147+H162+SUM(H163:H168)</f>
        <v>3639434.9999999995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2" t="s">
        <v>771</v>
      </c>
      <c r="I172" s="16" t="s">
        <v>283</v>
      </c>
      <c r="J172" s="16" t="s">
        <v>284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>
        <v>419675.47</v>
      </c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0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0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0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0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419675.47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0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0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/>
      <c r="K179" s="24" t="s">
        <v>288</v>
      </c>
      <c r="L179" s="24" t="s">
        <v>288</v>
      </c>
      <c r="M179" s="8"/>
      <c r="N179" s="270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0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0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0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0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0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0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0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68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68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0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0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0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4" t="s">
        <v>430</v>
      </c>
      <c r="E192" s="51">
        <v>5000</v>
      </c>
      <c r="F192" s="41">
        <f>F177+F183+SUM(F188:F191)</f>
        <v>419675.47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0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5" t="s">
        <v>430</v>
      </c>
      <c r="E193" s="44"/>
      <c r="F193" s="47">
        <f>F112+F140+F169+F192</f>
        <v>59292369.890000001</v>
      </c>
      <c r="G193" s="47">
        <f>G112+G140+G169+G192</f>
        <v>1815862.63</v>
      </c>
      <c r="H193" s="47">
        <f>H112+H140+H169+H192</f>
        <v>3639434.9999999995</v>
      </c>
      <c r="I193" s="47">
        <f>I112+I140+I169+I192</f>
        <v>16981607.859999999</v>
      </c>
      <c r="J193" s="47">
        <f>J112+J140+J192</f>
        <v>0</v>
      </c>
      <c r="K193" s="45" t="s">
        <v>288</v>
      </c>
      <c r="L193" s="45" t="s">
        <v>288</v>
      </c>
      <c r="M193" s="8"/>
      <c r="N193" s="270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5" t="s">
        <v>692</v>
      </c>
      <c r="G194" s="175" t="s">
        <v>693</v>
      </c>
      <c r="H194" s="175" t="s">
        <v>694</v>
      </c>
      <c r="I194" s="175" t="s">
        <v>695</v>
      </c>
      <c r="J194" s="175" t="s">
        <v>696</v>
      </c>
      <c r="K194" s="175" t="s">
        <v>697</v>
      </c>
      <c r="L194" s="56"/>
      <c r="M194" s="8"/>
      <c r="N194" s="270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0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7520935.34-0.01</f>
        <v>7520935.3300000001</v>
      </c>
      <c r="G197" s="18">
        <v>3141889.35</v>
      </c>
      <c r="H197" s="18">
        <v>101552.52</v>
      </c>
      <c r="I197" s="18">
        <v>151752.76999999999</v>
      </c>
      <c r="J197" s="18">
        <v>1548.36</v>
      </c>
      <c r="K197" s="18"/>
      <c r="L197" s="19">
        <f>SUM(F197:K197)</f>
        <v>10917678.329999998</v>
      </c>
      <c r="M197" s="8"/>
      <c r="N197" s="270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5028848.4-0.03</f>
        <v>5028848.37</v>
      </c>
      <c r="G198" s="18">
        <v>1701999.66</v>
      </c>
      <c r="H198" s="18">
        <v>1760263.38</v>
      </c>
      <c r="I198" s="18">
        <v>21031.42</v>
      </c>
      <c r="J198" s="18"/>
      <c r="K198" s="18">
        <v>1000</v>
      </c>
      <c r="L198" s="19">
        <f>SUM(F198:K198)</f>
        <v>8513142.8300000001</v>
      </c>
      <c r="M198" s="8"/>
      <c r="N198" s="270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0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0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649744.81000000006</v>
      </c>
      <c r="G202" s="18">
        <v>276520.68</v>
      </c>
      <c r="H202" s="18">
        <v>752.98</v>
      </c>
      <c r="I202" s="18">
        <v>1721.38</v>
      </c>
      <c r="J202" s="18">
        <v>904.02</v>
      </c>
      <c r="K202" s="18"/>
      <c r="L202" s="19">
        <f t="shared" ref="L202:L208" si="0">SUM(F202:K202)</f>
        <v>929643.87</v>
      </c>
      <c r="M202" s="8"/>
      <c r="N202" s="270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417717.17-0.02</f>
        <v>417717.14999999997</v>
      </c>
      <c r="G203" s="18">
        <v>256090.88</v>
      </c>
      <c r="H203" s="18">
        <v>157436.81</v>
      </c>
      <c r="I203" s="18">
        <v>11968.71</v>
      </c>
      <c r="J203" s="18">
        <v>5092.1400000000003</v>
      </c>
      <c r="K203" s="18">
        <v>354.32</v>
      </c>
      <c r="L203" s="19">
        <f t="shared" si="0"/>
        <v>848660.01</v>
      </c>
      <c r="M203" s="8"/>
      <c r="N203" s="270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504328.57-0.04</f>
        <v>504328.53</v>
      </c>
      <c r="G204" s="18">
        <v>168935.96</v>
      </c>
      <c r="H204" s="18">
        <v>104812.61</v>
      </c>
      <c r="I204" s="18">
        <v>12062.05</v>
      </c>
      <c r="J204" s="18">
        <v>460</v>
      </c>
      <c r="K204" s="18">
        <v>12471.16</v>
      </c>
      <c r="L204" s="19">
        <f t="shared" si="0"/>
        <v>803070.31</v>
      </c>
      <c r="M204" s="8"/>
      <c r="N204" s="270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1272474.7</v>
      </c>
      <c r="G205" s="18">
        <v>562982.44999999995</v>
      </c>
      <c r="H205" s="18">
        <v>227.02</v>
      </c>
      <c r="I205" s="18">
        <v>3483.06</v>
      </c>
      <c r="J205" s="18"/>
      <c r="K205" s="18">
        <v>4106.99</v>
      </c>
      <c r="L205" s="19">
        <f t="shared" si="0"/>
        <v>1843274.22</v>
      </c>
      <c r="M205" s="8"/>
      <c r="N205" s="270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f>161441.32-0.01</f>
        <v>161441.31</v>
      </c>
      <c r="G206" s="18">
        <v>65865</v>
      </c>
      <c r="H206" s="18">
        <v>15359.19</v>
      </c>
      <c r="I206" s="18">
        <v>1959.8</v>
      </c>
      <c r="J206" s="18"/>
      <c r="K206" s="18">
        <v>358.11</v>
      </c>
      <c r="L206" s="19">
        <f t="shared" si="0"/>
        <v>244983.40999999997</v>
      </c>
      <c r="M206" s="8"/>
      <c r="N206" s="270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759850.19+0.02</f>
        <v>759850.21</v>
      </c>
      <c r="G207" s="18">
        <v>366325.76000000001</v>
      </c>
      <c r="H207" s="18">
        <v>369394.42</v>
      </c>
      <c r="I207" s="18">
        <v>406918.09</v>
      </c>
      <c r="J207" s="18">
        <v>17213.23</v>
      </c>
      <c r="K207" s="18">
        <v>559.65</v>
      </c>
      <c r="L207" s="19">
        <f t="shared" si="0"/>
        <v>1920261.3599999999</v>
      </c>
      <c r="M207" s="8"/>
      <c r="N207" s="270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920019.93</v>
      </c>
      <c r="I208" s="18"/>
      <c r="J208" s="18"/>
      <c r="K208" s="18"/>
      <c r="L208" s="19">
        <f t="shared" si="0"/>
        <v>920019.93</v>
      </c>
      <c r="M208" s="8"/>
      <c r="N208" s="270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>
        <v>397.44</v>
      </c>
      <c r="H209" s="18"/>
      <c r="I209" s="18"/>
      <c r="J209" s="18"/>
      <c r="K209" s="18"/>
      <c r="L209" s="19">
        <f>SUM(F209:K209)</f>
        <v>397.44</v>
      </c>
      <c r="M209" s="8"/>
      <c r="N209" s="270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0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16315340.41</v>
      </c>
      <c r="G211" s="41">
        <f t="shared" si="1"/>
        <v>6541007.1799999997</v>
      </c>
      <c r="H211" s="41">
        <f t="shared" si="1"/>
        <v>3429818.86</v>
      </c>
      <c r="I211" s="41">
        <f t="shared" si="1"/>
        <v>610897.28</v>
      </c>
      <c r="J211" s="41">
        <f t="shared" si="1"/>
        <v>25217.75</v>
      </c>
      <c r="K211" s="41">
        <f t="shared" si="1"/>
        <v>18850.230000000003</v>
      </c>
      <c r="L211" s="41">
        <f t="shared" si="1"/>
        <v>26941131.709999997</v>
      </c>
      <c r="M211" s="8"/>
      <c r="N211" s="270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5" t="s">
        <v>692</v>
      </c>
      <c r="G212" s="175" t="s">
        <v>693</v>
      </c>
      <c r="H212" s="175" t="s">
        <v>694</v>
      </c>
      <c r="I212" s="175" t="s">
        <v>695</v>
      </c>
      <c r="J212" s="175" t="s">
        <v>696</v>
      </c>
      <c r="K212" s="175" t="s">
        <v>697</v>
      </c>
      <c r="L212" s="67"/>
      <c r="M212" s="8"/>
      <c r="N212" s="270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0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3610418.22</v>
      </c>
      <c r="G215" s="18">
        <v>1520631.68</v>
      </c>
      <c r="H215" s="18">
        <v>47547.68</v>
      </c>
      <c r="I215" s="18">
        <v>49553.47</v>
      </c>
      <c r="J215" s="18">
        <v>4725</v>
      </c>
      <c r="K215" s="18">
        <v>12290</v>
      </c>
      <c r="L215" s="19">
        <f>SUM(F215:K215)</f>
        <v>5245166.05</v>
      </c>
      <c r="M215" s="8"/>
      <c r="N215" s="270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1337114.8700000001</v>
      </c>
      <c r="G216" s="18">
        <v>600825.62</v>
      </c>
      <c r="H216" s="18">
        <v>1211736.33</v>
      </c>
      <c r="I216" s="18">
        <v>9985.2800000000007</v>
      </c>
      <c r="J216" s="18"/>
      <c r="K216" s="18">
        <v>905</v>
      </c>
      <c r="L216" s="19">
        <f>SUM(F216:K216)</f>
        <v>3160567.1</v>
      </c>
      <c r="M216" s="8"/>
      <c r="N216" s="270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42012.42</v>
      </c>
      <c r="G218" s="18">
        <v>11934.63</v>
      </c>
      <c r="H218" s="18">
        <v>4478.08</v>
      </c>
      <c r="I218" s="18">
        <v>1595.73</v>
      </c>
      <c r="J218" s="18">
        <v>3328.18</v>
      </c>
      <c r="K218" s="18">
        <v>4705.45</v>
      </c>
      <c r="L218" s="19">
        <f>SUM(F218:K218)</f>
        <v>68054.490000000005</v>
      </c>
      <c r="M218" s="8"/>
      <c r="N218" s="270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0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448442.29</v>
      </c>
      <c r="G220" s="18">
        <v>192641.69</v>
      </c>
      <c r="H220" s="18">
        <v>397.79</v>
      </c>
      <c r="I220" s="18">
        <v>785.85</v>
      </c>
      <c r="J220" s="18">
        <v>412.7</v>
      </c>
      <c r="K220" s="18"/>
      <c r="L220" s="19">
        <f t="shared" ref="L220:L226" si="2">SUM(F220:K220)</f>
        <v>642680.31999999995</v>
      </c>
      <c r="M220" s="8"/>
      <c r="N220" s="270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226638.3</v>
      </c>
      <c r="G221" s="18">
        <v>151012.97</v>
      </c>
      <c r="H221" s="18">
        <v>71873.320000000007</v>
      </c>
      <c r="I221" s="18">
        <v>9981.2000000000007</v>
      </c>
      <c r="J221" s="18">
        <v>2734.75</v>
      </c>
      <c r="K221" s="18">
        <v>161.75</v>
      </c>
      <c r="L221" s="19">
        <f t="shared" si="2"/>
        <v>462402.29000000004</v>
      </c>
      <c r="M221" s="8"/>
      <c r="N221" s="270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230236.97</v>
      </c>
      <c r="G222" s="18">
        <v>77122.95</v>
      </c>
      <c r="H222" s="18">
        <v>47849.23</v>
      </c>
      <c r="I222" s="18">
        <v>5506.59</v>
      </c>
      <c r="J222" s="18">
        <v>210</v>
      </c>
      <c r="K222" s="18">
        <v>5693.35</v>
      </c>
      <c r="L222" s="19">
        <f t="shared" si="2"/>
        <v>366619.08999999997</v>
      </c>
      <c r="M222" s="8"/>
      <c r="N222" s="270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333110.34000000003</v>
      </c>
      <c r="G223" s="18">
        <v>166279.60999999999</v>
      </c>
      <c r="H223" s="18">
        <v>2393.5</v>
      </c>
      <c r="I223" s="18">
        <v>1255.3800000000001</v>
      </c>
      <c r="J223" s="18"/>
      <c r="K223" s="18">
        <v>545</v>
      </c>
      <c r="L223" s="19">
        <f t="shared" si="2"/>
        <v>503583.83</v>
      </c>
      <c r="M223" s="8"/>
      <c r="N223" s="270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73701.47</v>
      </c>
      <c r="G224" s="18">
        <v>30068.79</v>
      </c>
      <c r="H224" s="18">
        <v>7011.8</v>
      </c>
      <c r="I224" s="18">
        <v>894.69</v>
      </c>
      <c r="J224" s="18"/>
      <c r="K224" s="18">
        <v>163.49</v>
      </c>
      <c r="L224" s="19">
        <f t="shared" si="2"/>
        <v>111840.24000000002</v>
      </c>
      <c r="M224" s="8"/>
      <c r="N224" s="270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328259.39</v>
      </c>
      <c r="G225" s="18">
        <v>146959.76</v>
      </c>
      <c r="H225" s="18">
        <v>171077.83</v>
      </c>
      <c r="I225" s="18">
        <v>206238.05</v>
      </c>
      <c r="J225" s="18">
        <v>8311.5</v>
      </c>
      <c r="K225" s="18">
        <v>272.64999999999998</v>
      </c>
      <c r="L225" s="19">
        <f t="shared" si="2"/>
        <v>861119.18</v>
      </c>
      <c r="M225" s="8"/>
      <c r="N225" s="270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504887.66</v>
      </c>
      <c r="I226" s="18"/>
      <c r="J226" s="18"/>
      <c r="K226" s="18"/>
      <c r="L226" s="19">
        <f t="shared" si="2"/>
        <v>504887.66</v>
      </c>
      <c r="M226" s="8"/>
      <c r="N226" s="270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>
        <v>181.44</v>
      </c>
      <c r="H227" s="18"/>
      <c r="I227" s="18"/>
      <c r="J227" s="18"/>
      <c r="K227" s="18"/>
      <c r="L227" s="19">
        <f>SUM(F227:K227)</f>
        <v>181.44</v>
      </c>
      <c r="M227" s="8"/>
      <c r="N227" s="270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0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6629934.2699999986</v>
      </c>
      <c r="G229" s="41">
        <f>SUM(G215:G228)</f>
        <v>2897659.14</v>
      </c>
      <c r="H229" s="41">
        <f>SUM(H215:H228)</f>
        <v>2069253.2200000002</v>
      </c>
      <c r="I229" s="41">
        <f>SUM(I215:I228)</f>
        <v>285796.24</v>
      </c>
      <c r="J229" s="41">
        <f>SUM(J215:J228)</f>
        <v>19722.13</v>
      </c>
      <c r="K229" s="41">
        <f t="shared" si="3"/>
        <v>24736.690000000006</v>
      </c>
      <c r="L229" s="41">
        <f t="shared" si="3"/>
        <v>11927101.689999999</v>
      </c>
      <c r="M229" s="8"/>
      <c r="N229" s="270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5" t="s">
        <v>692</v>
      </c>
      <c r="G230" s="175" t="s">
        <v>693</v>
      </c>
      <c r="H230" s="175" t="s">
        <v>694</v>
      </c>
      <c r="I230" s="175" t="s">
        <v>695</v>
      </c>
      <c r="J230" s="175" t="s">
        <v>696</v>
      </c>
      <c r="K230" s="175" t="s">
        <v>697</v>
      </c>
      <c r="L230" s="67"/>
      <c r="M230" s="8"/>
      <c r="N230" s="270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0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4453331.72</v>
      </c>
      <c r="G233" s="18">
        <v>1783798.96</v>
      </c>
      <c r="H233" s="18">
        <v>101529.2</v>
      </c>
      <c r="I233" s="18">
        <v>102175.83</v>
      </c>
      <c r="J233" s="18">
        <v>7447.89</v>
      </c>
      <c r="K233" s="18">
        <v>37335</v>
      </c>
      <c r="L233" s="19">
        <f>SUM(F233:K233)</f>
        <v>6485618.5999999996</v>
      </c>
      <c r="M233" s="8"/>
      <c r="N233" s="270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1033467.5</v>
      </c>
      <c r="G234" s="18">
        <v>447056.5</v>
      </c>
      <c r="H234" s="18">
        <v>1950762.44</v>
      </c>
      <c r="I234" s="18">
        <v>8337.57</v>
      </c>
      <c r="J234" s="18"/>
      <c r="K234" s="18">
        <v>680</v>
      </c>
      <c r="L234" s="19">
        <f>SUM(F234:K234)</f>
        <v>3440304.01</v>
      </c>
      <c r="M234" s="8"/>
      <c r="N234" s="270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1150328.6499999999</v>
      </c>
      <c r="G235" s="18">
        <v>462954.65</v>
      </c>
      <c r="H235" s="18">
        <v>57635.37</v>
      </c>
      <c r="I235" s="18">
        <v>28061.86</v>
      </c>
      <c r="J235" s="18">
        <v>36.119999999999997</v>
      </c>
      <c r="K235" s="18"/>
      <c r="L235" s="19">
        <f>SUM(F235:K235)</f>
        <v>1699016.6500000001</v>
      </c>
      <c r="M235" s="8"/>
      <c r="N235" s="270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f>296246.46-0.03</f>
        <v>296246.43</v>
      </c>
      <c r="G236" s="18">
        <v>87331.76</v>
      </c>
      <c r="H236" s="18">
        <v>40302.620000000003</v>
      </c>
      <c r="I236" s="18">
        <v>14361.56</v>
      </c>
      <c r="J236" s="18">
        <v>29953.64</v>
      </c>
      <c r="K236" s="18">
        <v>42349.07</v>
      </c>
      <c r="L236" s="19">
        <f>SUM(F236:K236)</f>
        <v>510545.08</v>
      </c>
      <c r="M236" s="8"/>
      <c r="N236" s="270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0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708222.43</v>
      </c>
      <c r="G238" s="18">
        <v>279384.99</v>
      </c>
      <c r="H238" s="18">
        <v>1690.04</v>
      </c>
      <c r="I238" s="18">
        <v>8654.51</v>
      </c>
      <c r="J238" s="18">
        <v>648.54</v>
      </c>
      <c r="K238" s="18">
        <v>275</v>
      </c>
      <c r="L238" s="19">
        <f t="shared" ref="L238:L244" si="4">SUM(F238:K238)</f>
        <v>998875.51000000013</v>
      </c>
      <c r="M238" s="8"/>
      <c r="N238" s="270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299529.38</v>
      </c>
      <c r="G239" s="18">
        <v>174044.08</v>
      </c>
      <c r="H239" s="18">
        <v>112943.81</v>
      </c>
      <c r="I239" s="18">
        <v>31077</v>
      </c>
      <c r="J239" s="18">
        <v>5991.59</v>
      </c>
      <c r="K239" s="18">
        <v>254.19</v>
      </c>
      <c r="L239" s="19">
        <f t="shared" si="4"/>
        <v>623840.04999999993</v>
      </c>
      <c r="M239" s="8"/>
      <c r="N239" s="270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497049.42</v>
      </c>
      <c r="G240" s="18">
        <v>239566.21</v>
      </c>
      <c r="H240" s="18">
        <v>92741.65</v>
      </c>
      <c r="I240" s="18">
        <v>12188.36</v>
      </c>
      <c r="J240" s="18">
        <v>330</v>
      </c>
      <c r="K240" s="18">
        <v>8946.7000000000007</v>
      </c>
      <c r="L240" s="19">
        <f t="shared" si="4"/>
        <v>850822.34</v>
      </c>
      <c r="M240" s="8"/>
      <c r="N240" s="270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673571.08</v>
      </c>
      <c r="G241" s="18">
        <v>249967.2</v>
      </c>
      <c r="H241" s="18">
        <v>21159.54</v>
      </c>
      <c r="I241" s="18">
        <v>7618.13</v>
      </c>
      <c r="J241" s="18">
        <v>819.84</v>
      </c>
      <c r="K241" s="18">
        <v>3449</v>
      </c>
      <c r="L241" s="19">
        <f t="shared" si="4"/>
        <v>956584.79</v>
      </c>
      <c r="M241" s="8"/>
      <c r="N241" s="270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115816.6</v>
      </c>
      <c r="G242" s="18">
        <v>47250.98</v>
      </c>
      <c r="H242" s="18">
        <v>11018.54</v>
      </c>
      <c r="I242" s="18">
        <v>1405.94</v>
      </c>
      <c r="J242" s="18"/>
      <c r="K242" s="18">
        <v>256.91000000000003</v>
      </c>
      <c r="L242" s="19">
        <f t="shared" si="4"/>
        <v>175748.97000000003</v>
      </c>
      <c r="M242" s="8"/>
      <c r="N242" s="270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592116.52</v>
      </c>
      <c r="G243" s="18">
        <v>242830.49</v>
      </c>
      <c r="H243" s="18">
        <v>376792.93</v>
      </c>
      <c r="I243" s="18">
        <v>398198.03</v>
      </c>
      <c r="J243" s="18">
        <v>14315.7</v>
      </c>
      <c r="K243" s="18">
        <v>602.70000000000005</v>
      </c>
      <c r="L243" s="19">
        <f t="shared" si="4"/>
        <v>1624856.3699999999</v>
      </c>
      <c r="M243" s="8"/>
      <c r="N243" s="270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850906.25</v>
      </c>
      <c r="I244" s="18"/>
      <c r="J244" s="18"/>
      <c r="K244" s="18"/>
      <c r="L244" s="19">
        <f t="shared" si="4"/>
        <v>850906.25</v>
      </c>
      <c r="M244" s="8"/>
      <c r="N244" s="270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>
        <v>285.12</v>
      </c>
      <c r="H245" s="18"/>
      <c r="I245" s="18"/>
      <c r="J245" s="18"/>
      <c r="K245" s="18"/>
      <c r="L245" s="19">
        <f>SUM(F245:K245)</f>
        <v>285.12</v>
      </c>
      <c r="M245" s="8"/>
      <c r="N245" s="270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0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9819679.7299999986</v>
      </c>
      <c r="G247" s="41">
        <f t="shared" si="5"/>
        <v>4014470.9399999995</v>
      </c>
      <c r="H247" s="41">
        <f t="shared" si="5"/>
        <v>3617482.39</v>
      </c>
      <c r="I247" s="41">
        <f t="shared" si="5"/>
        <v>612078.79</v>
      </c>
      <c r="J247" s="41">
        <f t="shared" si="5"/>
        <v>59543.319999999992</v>
      </c>
      <c r="K247" s="41">
        <f t="shared" si="5"/>
        <v>94148.57</v>
      </c>
      <c r="L247" s="41">
        <f t="shared" si="5"/>
        <v>18217403.740000002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5" t="s">
        <v>692</v>
      </c>
      <c r="G248" s="175" t="s">
        <v>693</v>
      </c>
      <c r="H248" s="175" t="s">
        <v>694</v>
      </c>
      <c r="I248" s="175" t="s">
        <v>695</v>
      </c>
      <c r="J248" s="175" t="s">
        <v>696</v>
      </c>
      <c r="K248" s="175" t="s">
        <v>697</v>
      </c>
      <c r="L248" s="67"/>
      <c r="M248" s="8"/>
      <c r="N248" s="270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378</v>
      </c>
      <c r="G251" s="18">
        <f>27.2+59.23</f>
        <v>86.429999999999993</v>
      </c>
      <c r="H251" s="18"/>
      <c r="I251" s="18"/>
      <c r="J251" s="18"/>
      <c r="K251" s="18"/>
      <c r="L251" s="19">
        <f t="shared" si="6"/>
        <v>464.43</v>
      </c>
      <c r="M251" s="8"/>
      <c r="N251" s="270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378</v>
      </c>
      <c r="G256" s="41">
        <f t="shared" si="7"/>
        <v>86.429999999999993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464.43</v>
      </c>
      <c r="M256" s="8"/>
      <c r="N256" s="270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32765332.409999996</v>
      </c>
      <c r="G257" s="41">
        <f t="shared" si="8"/>
        <v>13453223.689999999</v>
      </c>
      <c r="H257" s="41">
        <f t="shared" si="8"/>
        <v>9116554.4700000007</v>
      </c>
      <c r="I257" s="41">
        <f t="shared" si="8"/>
        <v>1508772.31</v>
      </c>
      <c r="J257" s="41">
        <f t="shared" si="8"/>
        <v>104483.2</v>
      </c>
      <c r="K257" s="41">
        <f t="shared" si="8"/>
        <v>137735.49000000002</v>
      </c>
      <c r="L257" s="41">
        <f t="shared" si="8"/>
        <v>57086101.57</v>
      </c>
      <c r="M257" s="8"/>
      <c r="N257" s="270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0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0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1488997.49</v>
      </c>
      <c r="L260" s="19">
        <f>SUM(F260:K260)</f>
        <v>1488997.49</v>
      </c>
      <c r="M260" s="8"/>
      <c r="N260" s="270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837030.14</v>
      </c>
      <c r="L261" s="19">
        <f>SUM(F261:K261)</f>
        <v>837030.14</v>
      </c>
      <c r="N261" s="268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68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68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68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68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68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68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68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68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2326027.63</v>
      </c>
      <c r="L270" s="41">
        <f t="shared" si="9"/>
        <v>2326027.63</v>
      </c>
      <c r="N270" s="268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32765332.409999996</v>
      </c>
      <c r="G271" s="42">
        <f t="shared" si="11"/>
        <v>13453223.689999999</v>
      </c>
      <c r="H271" s="42">
        <f t="shared" si="11"/>
        <v>9116554.4700000007</v>
      </c>
      <c r="I271" s="42">
        <f t="shared" si="11"/>
        <v>1508772.31</v>
      </c>
      <c r="J271" s="42">
        <f t="shared" si="11"/>
        <v>104483.2</v>
      </c>
      <c r="K271" s="42">
        <f t="shared" si="11"/>
        <v>2463763.12</v>
      </c>
      <c r="L271" s="42">
        <f t="shared" si="11"/>
        <v>59412129.200000003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466</v>
      </c>
      <c r="F273" s="175" t="s">
        <v>692</v>
      </c>
      <c r="G273" s="175" t="s">
        <v>693</v>
      </c>
      <c r="H273" s="175" t="s">
        <v>694</v>
      </c>
      <c r="I273" s="175" t="s">
        <v>695</v>
      </c>
      <c r="J273" s="175" t="s">
        <v>696</v>
      </c>
      <c r="K273" s="175" t="s">
        <v>697</v>
      </c>
      <c r="M273" s="8"/>
      <c r="N273" s="270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0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343076.29</v>
      </c>
      <c r="G276" s="18">
        <v>135937.79</v>
      </c>
      <c r="H276" s="18">
        <v>14943.97</v>
      </c>
      <c r="I276" s="18">
        <v>68565.539999999994</v>
      </c>
      <c r="J276" s="18">
        <v>8671</v>
      </c>
      <c r="K276" s="18"/>
      <c r="L276" s="19">
        <f>SUM(F276:K276)</f>
        <v>571194.59</v>
      </c>
      <c r="M276" s="8"/>
      <c r="N276" s="270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420988.16-0.01</f>
        <v>420988.14999999997</v>
      </c>
      <c r="G277" s="18">
        <v>155299.59</v>
      </c>
      <c r="H277" s="18">
        <v>1932</v>
      </c>
      <c r="I277" s="18">
        <v>817.64</v>
      </c>
      <c r="J277" s="18"/>
      <c r="K277" s="18"/>
      <c r="L277" s="19">
        <f>SUM(F277:K277)</f>
        <v>579037.38</v>
      </c>
      <c r="M277" s="8"/>
      <c r="N277" s="270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>
        <v>317.17</v>
      </c>
      <c r="I278" s="18">
        <v>2824.05</v>
      </c>
      <c r="J278" s="18">
        <v>1756.07</v>
      </c>
      <c r="K278" s="18"/>
      <c r="L278" s="19">
        <f>SUM(F278:K278)</f>
        <v>4897.29</v>
      </c>
      <c r="M278" s="8"/>
      <c r="N278" s="270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7722.68</v>
      </c>
      <c r="G279" s="18">
        <v>1072.48</v>
      </c>
      <c r="H279" s="18"/>
      <c r="I279" s="18">
        <v>3040.73</v>
      </c>
      <c r="J279" s="18"/>
      <c r="K279" s="18"/>
      <c r="L279" s="19">
        <f>SUM(F279:K279)</f>
        <v>11835.89</v>
      </c>
      <c r="M279" s="8"/>
      <c r="N279" s="270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0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15441.93</v>
      </c>
      <c r="G281" s="18">
        <v>2957.27</v>
      </c>
      <c r="H281" s="18">
        <v>12551.26</v>
      </c>
      <c r="I281" s="18">
        <v>1557.97</v>
      </c>
      <c r="J281" s="18"/>
      <c r="K281" s="18"/>
      <c r="L281" s="19">
        <f t="shared" ref="L281:L287" si="12">SUM(F281:K281)</f>
        <v>32508.43</v>
      </c>
      <c r="M281" s="8"/>
      <c r="N281" s="270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51994.96</v>
      </c>
      <c r="G282" s="18">
        <v>16161.18</v>
      </c>
      <c r="H282" s="18">
        <v>85733.42</v>
      </c>
      <c r="I282" s="18">
        <v>5252.24</v>
      </c>
      <c r="J282" s="18"/>
      <c r="K282" s="18"/>
      <c r="L282" s="19">
        <f t="shared" si="12"/>
        <v>159141.79999999999</v>
      </c>
      <c r="M282" s="8"/>
      <c r="N282" s="270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139281.01</v>
      </c>
      <c r="G283" s="18">
        <v>53541.86</v>
      </c>
      <c r="H283" s="18">
        <v>75964.09</v>
      </c>
      <c r="I283" s="18">
        <v>6926.53</v>
      </c>
      <c r="J283" s="18"/>
      <c r="K283" s="18">
        <v>23</v>
      </c>
      <c r="L283" s="19">
        <f t="shared" si="12"/>
        <v>275736.49</v>
      </c>
      <c r="M283" s="8"/>
      <c r="N283" s="270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40382.53</v>
      </c>
      <c r="L285" s="19">
        <f t="shared" si="12"/>
        <v>40382.53</v>
      </c>
      <c r="M285" s="8"/>
      <c r="N285" s="270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>
        <f>10812.76-0.01</f>
        <v>10812.75</v>
      </c>
      <c r="K286" s="18"/>
      <c r="L286" s="19">
        <f t="shared" si="12"/>
        <v>10812.75</v>
      </c>
      <c r="M286" s="8"/>
      <c r="N286" s="270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20700</v>
      </c>
      <c r="I287" s="18"/>
      <c r="J287" s="18"/>
      <c r="K287" s="18"/>
      <c r="L287" s="19">
        <f t="shared" si="12"/>
        <v>20700</v>
      </c>
      <c r="M287" s="8"/>
      <c r="N287" s="270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>
        <v>7135.29</v>
      </c>
      <c r="I288" s="18">
        <v>64.400000000000006</v>
      </c>
      <c r="J288" s="18"/>
      <c r="K288" s="18"/>
      <c r="L288" s="19">
        <f>SUM(F288:K288)</f>
        <v>7199.69</v>
      </c>
      <c r="M288" s="8"/>
      <c r="N288" s="270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0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978505.02</v>
      </c>
      <c r="G290" s="42">
        <f t="shared" si="13"/>
        <v>364970.17</v>
      </c>
      <c r="H290" s="42">
        <f t="shared" si="13"/>
        <v>219277.2</v>
      </c>
      <c r="I290" s="42">
        <f t="shared" si="13"/>
        <v>89049.099999999991</v>
      </c>
      <c r="J290" s="42">
        <f t="shared" si="13"/>
        <v>21239.82</v>
      </c>
      <c r="K290" s="42">
        <f t="shared" si="13"/>
        <v>40405.53</v>
      </c>
      <c r="L290" s="41">
        <f t="shared" si="13"/>
        <v>1713446.8399999999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5" t="s">
        <v>692</v>
      </c>
      <c r="G292" s="175" t="s">
        <v>693</v>
      </c>
      <c r="H292" s="175" t="s">
        <v>694</v>
      </c>
      <c r="I292" s="175" t="s">
        <v>695</v>
      </c>
      <c r="J292" s="175" t="s">
        <v>696</v>
      </c>
      <c r="K292" s="175" t="s">
        <v>697</v>
      </c>
      <c r="L292" s="17"/>
      <c r="M292" s="8"/>
      <c r="N292" s="270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0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117502.11</v>
      </c>
      <c r="G295" s="18">
        <v>44601.68</v>
      </c>
      <c r="H295" s="18">
        <v>6822.25</v>
      </c>
      <c r="I295" s="18">
        <v>30671.4</v>
      </c>
      <c r="J295" s="18">
        <v>3958.5</v>
      </c>
      <c r="K295" s="18"/>
      <c r="L295" s="19">
        <f>SUM(F295:K295)</f>
        <v>203555.94</v>
      </c>
      <c r="M295" s="8"/>
      <c r="N295" s="270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175172.2</v>
      </c>
      <c r="G296" s="18">
        <v>64858.42</v>
      </c>
      <c r="H296" s="18">
        <v>882</v>
      </c>
      <c r="I296" s="18">
        <v>373.27</v>
      </c>
      <c r="J296" s="18"/>
      <c r="K296" s="18"/>
      <c r="L296" s="19">
        <f>SUM(F296:K296)</f>
        <v>241285.88999999998</v>
      </c>
      <c r="M296" s="8"/>
      <c r="N296" s="270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>
        <v>144.80000000000001</v>
      </c>
      <c r="I297" s="18">
        <v>1289.24</v>
      </c>
      <c r="J297" s="18">
        <v>801.68</v>
      </c>
      <c r="K297" s="18"/>
      <c r="L297" s="19">
        <f>SUM(F297:K297)</f>
        <v>2235.7199999999998</v>
      </c>
      <c r="M297" s="8"/>
      <c r="N297" s="270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>
        <v>3525.57</v>
      </c>
      <c r="G298" s="18">
        <v>489.62</v>
      </c>
      <c r="H298" s="18"/>
      <c r="I298" s="18">
        <v>1388.16</v>
      </c>
      <c r="J298" s="18"/>
      <c r="K298" s="18"/>
      <c r="L298" s="19">
        <f>SUM(F298:K298)</f>
        <v>5403.35</v>
      </c>
      <c r="M298" s="8"/>
      <c r="N298" s="270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0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7049.58</v>
      </c>
      <c r="G300" s="18">
        <v>1350.06</v>
      </c>
      <c r="H300" s="18">
        <v>5729.92</v>
      </c>
      <c r="I300" s="18">
        <v>711.25</v>
      </c>
      <c r="J300" s="18"/>
      <c r="K300" s="18"/>
      <c r="L300" s="19">
        <f t="shared" ref="L300:L306" si="14">SUM(F300:K300)</f>
        <v>14840.81</v>
      </c>
      <c r="M300" s="8"/>
      <c r="N300" s="270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23736.83</v>
      </c>
      <c r="G301" s="18">
        <v>7377.93</v>
      </c>
      <c r="H301" s="18">
        <v>39139.17</v>
      </c>
      <c r="I301" s="18">
        <v>2397.7600000000002</v>
      </c>
      <c r="J301" s="18"/>
      <c r="K301" s="18"/>
      <c r="L301" s="19">
        <f t="shared" si="14"/>
        <v>72651.689999999988</v>
      </c>
      <c r="M301" s="8"/>
      <c r="N301" s="270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v>63584.81</v>
      </c>
      <c r="G302" s="18">
        <v>24443.01</v>
      </c>
      <c r="H302" s="18">
        <v>34679.25</v>
      </c>
      <c r="I302" s="18">
        <v>3162.11</v>
      </c>
      <c r="J302" s="18"/>
      <c r="K302" s="18">
        <v>10.5</v>
      </c>
      <c r="L302" s="19">
        <f t="shared" si="14"/>
        <v>125879.67999999999</v>
      </c>
      <c r="M302" s="8"/>
      <c r="N302" s="270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>
        <v>18435.5</v>
      </c>
      <c r="L304" s="19">
        <f t="shared" si="14"/>
        <v>18435.5</v>
      </c>
      <c r="M304" s="8"/>
      <c r="N304" s="270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>
        <v>4936.26</v>
      </c>
      <c r="K305" s="18"/>
      <c r="L305" s="19">
        <f t="shared" si="14"/>
        <v>4936.26</v>
      </c>
      <c r="M305" s="8"/>
      <c r="N305" s="270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>
        <v>9450</v>
      </c>
      <c r="I306" s="18"/>
      <c r="J306" s="18"/>
      <c r="K306" s="18"/>
      <c r="L306" s="19">
        <f t="shared" si="14"/>
        <v>9450</v>
      </c>
      <c r="M306" s="8"/>
      <c r="N306" s="270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>
        <v>3257.42</v>
      </c>
      <c r="I307" s="18">
        <v>29.4</v>
      </c>
      <c r="J307" s="18"/>
      <c r="K307" s="18"/>
      <c r="L307" s="19">
        <f>SUM(F307:K307)</f>
        <v>3286.82</v>
      </c>
      <c r="M307" s="8"/>
      <c r="N307" s="270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0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390571.10000000003</v>
      </c>
      <c r="G309" s="42">
        <f t="shared" si="15"/>
        <v>143120.72</v>
      </c>
      <c r="H309" s="42">
        <f t="shared" si="15"/>
        <v>100104.81</v>
      </c>
      <c r="I309" s="42">
        <f t="shared" si="15"/>
        <v>40022.590000000011</v>
      </c>
      <c r="J309" s="42">
        <f t="shared" si="15"/>
        <v>9696.44</v>
      </c>
      <c r="K309" s="42">
        <f t="shared" si="15"/>
        <v>18446</v>
      </c>
      <c r="L309" s="41">
        <f t="shared" si="15"/>
        <v>701961.6599999998</v>
      </c>
      <c r="N309" s="268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5" t="s">
        <v>692</v>
      </c>
      <c r="G311" s="175" t="s">
        <v>693</v>
      </c>
      <c r="H311" s="175" t="s">
        <v>694</v>
      </c>
      <c r="I311" s="175" t="s">
        <v>695</v>
      </c>
      <c r="J311" s="175" t="s">
        <v>696</v>
      </c>
      <c r="K311" s="175" t="s">
        <v>697</v>
      </c>
      <c r="L311" s="20"/>
      <c r="M311" s="8"/>
      <c r="N311" s="270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0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184646.16</v>
      </c>
      <c r="G314" s="18">
        <v>70088.37</v>
      </c>
      <c r="H314" s="18">
        <v>10720.67</v>
      </c>
      <c r="I314" s="18">
        <v>48197.91</v>
      </c>
      <c r="J314" s="18">
        <v>6220.5</v>
      </c>
      <c r="K314" s="18"/>
      <c r="L314" s="19">
        <f>SUM(F314:K314)</f>
        <v>319873.61</v>
      </c>
      <c r="M314" s="8"/>
      <c r="N314" s="270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275270.59999999998</v>
      </c>
      <c r="G315" s="18">
        <v>101920.37</v>
      </c>
      <c r="H315" s="18">
        <v>1386</v>
      </c>
      <c r="I315" s="18">
        <v>586.57000000000005</v>
      </c>
      <c r="J315" s="18"/>
      <c r="K315" s="18"/>
      <c r="L315" s="19">
        <f>SUM(F315:K315)</f>
        <v>379163.54</v>
      </c>
      <c r="M315" s="8"/>
      <c r="N315" s="270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6108.5</v>
      </c>
      <c r="G316" s="18">
        <v>1415.97</v>
      </c>
      <c r="H316" s="18">
        <v>14173.29</v>
      </c>
      <c r="I316" s="18">
        <v>4504.43</v>
      </c>
      <c r="J316" s="18">
        <v>54123.54</v>
      </c>
      <c r="K316" s="18">
        <v>6438.64</v>
      </c>
      <c r="L316" s="19">
        <f>SUM(F316:K316)</f>
        <v>86764.37000000001</v>
      </c>
      <c r="M316" s="8"/>
      <c r="N316" s="270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5540.19</v>
      </c>
      <c r="G317" s="18">
        <v>769.39</v>
      </c>
      <c r="H317" s="18"/>
      <c r="I317" s="18">
        <v>2181.4</v>
      </c>
      <c r="J317" s="18"/>
      <c r="K317" s="18"/>
      <c r="L317" s="19">
        <f>SUM(F317:K317)</f>
        <v>8490.98</v>
      </c>
      <c r="M317" s="8"/>
      <c r="N317" s="270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0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11077.91</v>
      </c>
      <c r="G319" s="18">
        <v>2121.52</v>
      </c>
      <c r="H319" s="18">
        <v>9004.16</v>
      </c>
      <c r="I319" s="18">
        <v>1117.68</v>
      </c>
      <c r="J319" s="18"/>
      <c r="K319" s="18"/>
      <c r="L319" s="19">
        <f t="shared" ref="L319:L325" si="16">SUM(F319:K319)</f>
        <v>23321.27</v>
      </c>
      <c r="M319" s="8"/>
      <c r="N319" s="270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37300.730000000003</v>
      </c>
      <c r="G320" s="18">
        <v>11593.87</v>
      </c>
      <c r="H320" s="18">
        <v>61504.41</v>
      </c>
      <c r="I320" s="18">
        <v>3767.91</v>
      </c>
      <c r="J320" s="18"/>
      <c r="K320" s="18"/>
      <c r="L320" s="19">
        <f t="shared" si="16"/>
        <v>114166.92000000001</v>
      </c>
      <c r="M320" s="8"/>
      <c r="N320" s="270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99918.99</v>
      </c>
      <c r="G321" s="18">
        <v>38410.47</v>
      </c>
      <c r="H321" s="18">
        <v>54495.98</v>
      </c>
      <c r="I321" s="18">
        <v>4969.03</v>
      </c>
      <c r="J321" s="18"/>
      <c r="K321" s="18">
        <v>16.5</v>
      </c>
      <c r="L321" s="19">
        <f t="shared" si="16"/>
        <v>197810.97000000003</v>
      </c>
      <c r="M321" s="8"/>
      <c r="N321" s="270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>
        <v>30922.91</v>
      </c>
      <c r="L323" s="19">
        <f t="shared" si="16"/>
        <v>30922.91</v>
      </c>
      <c r="M323" s="8"/>
      <c r="N323" s="270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>
        <v>7756.98</v>
      </c>
      <c r="K324" s="18"/>
      <c r="L324" s="19">
        <f t="shared" si="16"/>
        <v>7756.98</v>
      </c>
      <c r="M324" s="8"/>
      <c r="N324" s="270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>
        <v>14850</v>
      </c>
      <c r="I325" s="18"/>
      <c r="J325" s="18"/>
      <c r="K325" s="18"/>
      <c r="L325" s="19">
        <f t="shared" si="16"/>
        <v>14850</v>
      </c>
      <c r="M325" s="8"/>
      <c r="N325" s="270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>
        <v>5118.8</v>
      </c>
      <c r="I326" s="18">
        <v>46.2</v>
      </c>
      <c r="J326" s="18"/>
      <c r="K326" s="18"/>
      <c r="L326" s="19">
        <f>SUM(F326:K326)</f>
        <v>5165</v>
      </c>
      <c r="M326" s="8"/>
      <c r="N326" s="270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0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619863.07999999996</v>
      </c>
      <c r="G328" s="42">
        <f t="shared" si="17"/>
        <v>226319.96</v>
      </c>
      <c r="H328" s="42">
        <f t="shared" si="17"/>
        <v>171253.31</v>
      </c>
      <c r="I328" s="42">
        <f t="shared" si="17"/>
        <v>65371.130000000005</v>
      </c>
      <c r="J328" s="42">
        <f t="shared" si="17"/>
        <v>68101.02</v>
      </c>
      <c r="K328" s="42">
        <f t="shared" si="17"/>
        <v>37378.050000000003</v>
      </c>
      <c r="L328" s="41">
        <f t="shared" si="17"/>
        <v>1188286.5499999998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5" t="s">
        <v>692</v>
      </c>
      <c r="G330" s="175" t="s">
        <v>693</v>
      </c>
      <c r="H330" s="175" t="s">
        <v>694</v>
      </c>
      <c r="I330" s="175" t="s">
        <v>695</v>
      </c>
      <c r="J330" s="175" t="s">
        <v>696</v>
      </c>
      <c r="K330" s="175" t="s">
        <v>697</v>
      </c>
      <c r="L330" s="19"/>
      <c r="M330" s="8"/>
      <c r="N330" s="270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>
        <v>2013.27</v>
      </c>
      <c r="I332" s="18"/>
      <c r="J332" s="18"/>
      <c r="K332" s="18"/>
      <c r="L332" s="19">
        <f t="shared" ref="L332:L337" si="18">SUM(F332:K332)</f>
        <v>2013.27</v>
      </c>
      <c r="M332" s="8"/>
      <c r="N332" s="270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29852.15</v>
      </c>
      <c r="G333" s="18">
        <v>2959.4</v>
      </c>
      <c r="H333" s="18">
        <v>420.86</v>
      </c>
      <c r="I333" s="18">
        <v>494.27</v>
      </c>
      <c r="J333" s="18"/>
      <c r="K333" s="18"/>
      <c r="L333" s="19">
        <f t="shared" si="18"/>
        <v>33726.68</v>
      </c>
      <c r="M333" s="8"/>
      <c r="N333" s="270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29852.15</v>
      </c>
      <c r="G337" s="41">
        <f t="shared" si="19"/>
        <v>2959.4</v>
      </c>
      <c r="H337" s="41">
        <f t="shared" si="19"/>
        <v>2434.13</v>
      </c>
      <c r="I337" s="41">
        <f t="shared" si="19"/>
        <v>494.27</v>
      </c>
      <c r="J337" s="41">
        <f t="shared" si="19"/>
        <v>0</v>
      </c>
      <c r="K337" s="41">
        <f t="shared" si="19"/>
        <v>0</v>
      </c>
      <c r="L337" s="41">
        <f t="shared" si="18"/>
        <v>35739.949999999997</v>
      </c>
      <c r="M337" s="8"/>
      <c r="N337" s="270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2018791.35</v>
      </c>
      <c r="G338" s="41">
        <f t="shared" si="20"/>
        <v>737370.25</v>
      </c>
      <c r="H338" s="41">
        <f t="shared" si="20"/>
        <v>493069.45</v>
      </c>
      <c r="I338" s="41">
        <f t="shared" si="20"/>
        <v>194937.09</v>
      </c>
      <c r="J338" s="41">
        <f t="shared" si="20"/>
        <v>99037.28</v>
      </c>
      <c r="K338" s="41">
        <f t="shared" si="20"/>
        <v>96229.58</v>
      </c>
      <c r="L338" s="41">
        <f t="shared" si="20"/>
        <v>3639434.9999999995</v>
      </c>
      <c r="M338" s="8"/>
      <c r="N338" s="270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0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69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0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2018791.35</v>
      </c>
      <c r="G352" s="41">
        <f>G338</f>
        <v>737370.25</v>
      </c>
      <c r="H352" s="41">
        <f>H338</f>
        <v>493069.45</v>
      </c>
      <c r="I352" s="41">
        <f>I338</f>
        <v>194937.09</v>
      </c>
      <c r="J352" s="41">
        <f>J338</f>
        <v>99037.28</v>
      </c>
      <c r="K352" s="47">
        <f>K338+K351</f>
        <v>96229.58</v>
      </c>
      <c r="L352" s="41">
        <f>L338+L351</f>
        <v>3639434.9999999995</v>
      </c>
      <c r="M352" s="52"/>
      <c r="N352" s="269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5" t="s">
        <v>692</v>
      </c>
      <c r="G354" s="175" t="s">
        <v>693</v>
      </c>
      <c r="H354" s="175" t="s">
        <v>694</v>
      </c>
      <c r="I354" s="175" t="s">
        <v>695</v>
      </c>
      <c r="J354" s="175" t="s">
        <v>696</v>
      </c>
      <c r="K354" s="175" t="s">
        <v>697</v>
      </c>
      <c r="L354" s="53"/>
      <c r="M354" s="8"/>
      <c r="N354" s="270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0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0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291446.35+0.02</f>
        <v>291446.37</v>
      </c>
      <c r="G358" s="18">
        <v>88096.75</v>
      </c>
      <c r="H358" s="18">
        <v>153857.84</v>
      </c>
      <c r="I358" s="18">
        <f>377857.07-0.01</f>
        <v>377857.06</v>
      </c>
      <c r="J358" s="18">
        <v>17844.32</v>
      </c>
      <c r="K358" s="18">
        <v>1150.0999999999999</v>
      </c>
      <c r="L358" s="13">
        <f>SUM(F358:K358)</f>
        <v>930252.44</v>
      </c>
      <c r="N358" s="268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109317.23</v>
      </c>
      <c r="G359" s="18">
        <v>29992.799999999999</v>
      </c>
      <c r="H359" s="18">
        <v>73016.75</v>
      </c>
      <c r="I359" s="18">
        <v>135435.60999999999</v>
      </c>
      <c r="J359" s="18">
        <v>14923.1</v>
      </c>
      <c r="K359" s="18"/>
      <c r="L359" s="19">
        <f>SUM(F359:K359)</f>
        <v>362685.49</v>
      </c>
      <c r="M359" s="8"/>
      <c r="N359" s="270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179000.95999999999</v>
      </c>
      <c r="G360" s="18">
        <v>70005.36</v>
      </c>
      <c r="H360" s="18">
        <v>113673.13</v>
      </c>
      <c r="I360" s="18">
        <v>230240.53</v>
      </c>
      <c r="J360" s="18">
        <v>13189.28</v>
      </c>
      <c r="K360" s="18"/>
      <c r="L360" s="19">
        <f>SUM(F360:K360)</f>
        <v>606109.26</v>
      </c>
      <c r="M360" s="8"/>
      <c r="N360" s="270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579764.55999999994</v>
      </c>
      <c r="G362" s="47">
        <f t="shared" si="22"/>
        <v>188094.91</v>
      </c>
      <c r="H362" s="47">
        <f t="shared" si="22"/>
        <v>340547.72</v>
      </c>
      <c r="I362" s="47">
        <f t="shared" si="22"/>
        <v>743533.2</v>
      </c>
      <c r="J362" s="47">
        <f t="shared" si="22"/>
        <v>45956.7</v>
      </c>
      <c r="K362" s="47">
        <f t="shared" si="22"/>
        <v>1150.0999999999999</v>
      </c>
      <c r="L362" s="47">
        <f t="shared" si="22"/>
        <v>1899047.19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0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346162.08</v>
      </c>
      <c r="G367" s="18">
        <v>123276.79</v>
      </c>
      <c r="H367" s="18">
        <v>209570.54</v>
      </c>
      <c r="I367" s="56">
        <f>SUM(F367:H367)</f>
        <v>679009.41</v>
      </c>
      <c r="J367" s="24" t="s">
        <v>288</v>
      </c>
      <c r="K367" s="24" t="s">
        <v>288</v>
      </c>
      <c r="L367" s="24" t="s">
        <v>288</v>
      </c>
      <c r="M367" s="8"/>
      <c r="N367" s="270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31694.98</v>
      </c>
      <c r="G368" s="63">
        <v>12158.82</v>
      </c>
      <c r="H368" s="63">
        <v>20669.990000000002</v>
      </c>
      <c r="I368" s="56">
        <f>SUM(F368:H368)</f>
        <v>64523.790000000008</v>
      </c>
      <c r="J368" s="24" t="s">
        <v>288</v>
      </c>
      <c r="K368" s="24" t="s">
        <v>288</v>
      </c>
      <c r="L368" s="24" t="s">
        <v>288</v>
      </c>
      <c r="M368" s="8"/>
      <c r="N368" s="270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377857.06</v>
      </c>
      <c r="G369" s="47">
        <f>SUM(G367:G368)</f>
        <v>135435.60999999999</v>
      </c>
      <c r="H369" s="47">
        <f>SUM(H367:H368)</f>
        <v>230240.53</v>
      </c>
      <c r="I369" s="47">
        <f>SUM(I367:I368)</f>
        <v>743533.20000000007</v>
      </c>
      <c r="J369" s="24" t="s">
        <v>288</v>
      </c>
      <c r="K369" s="24" t="s">
        <v>288</v>
      </c>
      <c r="L369" s="24" t="s">
        <v>288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5" t="s">
        <v>692</v>
      </c>
      <c r="G371" s="175" t="s">
        <v>693</v>
      </c>
      <c r="H371" s="175" t="s">
        <v>694</v>
      </c>
      <c r="I371" s="175" t="s">
        <v>695</v>
      </c>
      <c r="J371" s="175" t="s">
        <v>696</v>
      </c>
      <c r="K371" s="175" t="s">
        <v>697</v>
      </c>
      <c r="L371" s="13"/>
      <c r="M371" s="8"/>
      <c r="N371" s="270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0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>
        <v>1314675.47</v>
      </c>
      <c r="I378" s="18"/>
      <c r="J378" s="18"/>
      <c r="K378" s="18"/>
      <c r="L378" s="13">
        <f t="shared" si="23"/>
        <v>1314675.47</v>
      </c>
      <c r="M378" s="8"/>
      <c r="N378" s="270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>
        <v>939156.15</v>
      </c>
      <c r="I379" s="18"/>
      <c r="J379" s="18"/>
      <c r="K379" s="18"/>
      <c r="L379" s="13">
        <f t="shared" si="23"/>
        <v>939156.15</v>
      </c>
      <c r="M379" s="8"/>
      <c r="N379" s="270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2253831.62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2253831.62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0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58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0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58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0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0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58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0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5" t="s">
        <v>692</v>
      </c>
      <c r="G409" s="175" t="s">
        <v>693</v>
      </c>
      <c r="H409" s="175" t="s">
        <v>694</v>
      </c>
      <c r="I409" s="175" t="s">
        <v>695</v>
      </c>
      <c r="J409" s="175" t="s">
        <v>696</v>
      </c>
      <c r="K409" s="175" t="s">
        <v>697</v>
      </c>
      <c r="L409" s="56"/>
      <c r="M409" s="8"/>
      <c r="N409" s="270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0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0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69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5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58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0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58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5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5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5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8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58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0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0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0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0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0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0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0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0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288</v>
      </c>
      <c r="K446" s="24" t="s">
        <v>288</v>
      </c>
      <c r="L446" s="24" t="s">
        <v>288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0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0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0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0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0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0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0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0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5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69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288</v>
      </c>
      <c r="K459" s="24" t="s">
        <v>288</v>
      </c>
      <c r="L459" s="24" t="s">
        <v>288</v>
      </c>
      <c r="M459" s="52"/>
      <c r="N459" s="269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288</v>
      </c>
      <c r="K460" s="24" t="s">
        <v>288</v>
      </c>
      <c r="L460" s="24" t="s">
        <v>288</v>
      </c>
      <c r="N460" s="269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5" t="s">
        <v>432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288</v>
      </c>
      <c r="K461" s="24" t="s">
        <v>288</v>
      </c>
      <c r="L461" s="24" t="s">
        <v>288</v>
      </c>
      <c r="N461" s="269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69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69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69"/>
    </row>
    <row r="465" spans="1:14" s="52" customFormat="1" ht="12" customHeight="1" x14ac:dyDescent="0.2">
      <c r="A465" s="187" t="s">
        <v>903</v>
      </c>
      <c r="B465" s="105">
        <v>19</v>
      </c>
      <c r="C465" s="111">
        <v>1</v>
      </c>
      <c r="D465" s="2" t="s">
        <v>432</v>
      </c>
      <c r="E465" s="111"/>
      <c r="F465" s="18"/>
      <c r="G465" s="18">
        <v>107878.59</v>
      </c>
      <c r="H465" s="18"/>
      <c r="I465" s="18">
        <v>2253831.62</v>
      </c>
      <c r="J465" s="18"/>
      <c r="K465" s="24" t="s">
        <v>288</v>
      </c>
      <c r="L465" s="24" t="s">
        <v>288</v>
      </c>
      <c r="N465" s="269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69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69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59292369.890000001</v>
      </c>
      <c r="G468" s="18">
        <v>1815862.63</v>
      </c>
      <c r="H468" s="18">
        <v>3639435</v>
      </c>
      <c r="I468" s="18">
        <v>16981607.859999999</v>
      </c>
      <c r="J468" s="18"/>
      <c r="K468" s="24" t="s">
        <v>288</v>
      </c>
      <c r="L468" s="24" t="s">
        <v>288</v>
      </c>
      <c r="N468" s="269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>
        <f>30760.87+67391+21533.88-288.15</f>
        <v>119397.6</v>
      </c>
      <c r="H469" s="18"/>
      <c r="I469" s="18"/>
      <c r="J469" s="18"/>
      <c r="K469" s="24" t="s">
        <v>288</v>
      </c>
      <c r="L469" s="24" t="s">
        <v>288</v>
      </c>
      <c r="N469" s="269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59292369.890000001</v>
      </c>
      <c r="G470" s="53">
        <f>SUM(G468:G469)</f>
        <v>1935260.23</v>
      </c>
      <c r="H470" s="53">
        <f>SUM(H468:H469)</f>
        <v>3639435</v>
      </c>
      <c r="I470" s="53">
        <f>SUM(I468:I469)</f>
        <v>16981607.859999999</v>
      </c>
      <c r="J470" s="53">
        <f>SUM(J468:J469)</f>
        <v>0</v>
      </c>
      <c r="K470" s="24" t="s">
        <v>288</v>
      </c>
      <c r="L470" s="24" t="s">
        <v>288</v>
      </c>
      <c r="N470" s="269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69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59412129.200000003</v>
      </c>
      <c r="G472" s="18">
        <v>1899047.19</v>
      </c>
      <c r="H472" s="18">
        <v>3639435</v>
      </c>
      <c r="I472" s="18">
        <v>2253831.62</v>
      </c>
      <c r="J472" s="18"/>
      <c r="K472" s="24" t="s">
        <v>288</v>
      </c>
      <c r="L472" s="24" t="s">
        <v>288</v>
      </c>
      <c r="N472" s="269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>
        <f>-386229.11+266469.8</f>
        <v>-119759.31</v>
      </c>
      <c r="G473" s="18">
        <v>19865.68</v>
      </c>
      <c r="H473" s="18"/>
      <c r="I473" s="18"/>
      <c r="J473" s="18"/>
      <c r="K473" s="24" t="s">
        <v>288</v>
      </c>
      <c r="L473" s="24" t="s">
        <v>288</v>
      </c>
      <c r="N473" s="269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59292369.890000001</v>
      </c>
      <c r="G474" s="53">
        <f>SUM(G472:G473)</f>
        <v>1918912.8699999999</v>
      </c>
      <c r="H474" s="53">
        <f>SUM(H472:H473)</f>
        <v>3639435</v>
      </c>
      <c r="I474" s="53">
        <f>SUM(I472:I473)</f>
        <v>2253831.62</v>
      </c>
      <c r="J474" s="53">
        <f>SUM(J472:J473)</f>
        <v>0</v>
      </c>
      <c r="K474" s="24" t="s">
        <v>288</v>
      </c>
      <c r="L474" s="24" t="s">
        <v>288</v>
      </c>
      <c r="N474" s="269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69"/>
    </row>
    <row r="476" spans="1:14" s="52" customFormat="1" ht="12" customHeight="1" x14ac:dyDescent="0.2">
      <c r="A476" s="188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0</v>
      </c>
      <c r="G476" s="53">
        <f>(G465+G470)- G474</f>
        <v>124225.95000000019</v>
      </c>
      <c r="H476" s="53">
        <f>(H465+H470)- H474</f>
        <v>0</v>
      </c>
      <c r="I476" s="53">
        <f>(I465+I470)- I474</f>
        <v>16981607.859999999</v>
      </c>
      <c r="J476" s="53">
        <f>(J465+J470)- J474</f>
        <v>0</v>
      </c>
      <c r="K476" s="24" t="s">
        <v>288</v>
      </c>
      <c r="L476" s="24" t="s">
        <v>288</v>
      </c>
      <c r="N476" s="269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69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69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69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69"/>
    </row>
    <row r="481" spans="1:14" s="52" customFormat="1" ht="12" customHeight="1" x14ac:dyDescent="0.2">
      <c r="A481" s="173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69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69"/>
    </row>
    <row r="483" spans="1:14" s="52" customFormat="1" ht="12" customHeight="1" x14ac:dyDescent="0.2">
      <c r="A483" s="172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69"/>
    </row>
    <row r="484" spans="1:14" s="52" customFormat="1" ht="12" customHeight="1" x14ac:dyDescent="0.2">
      <c r="A484" s="172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69"/>
    </row>
    <row r="485" spans="1:14" s="52" customFormat="1" ht="12" customHeight="1" x14ac:dyDescent="0.2">
      <c r="A485" s="172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69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69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69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69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69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21" t="s">
        <v>914</v>
      </c>
      <c r="G490" s="21">
        <v>20</v>
      </c>
      <c r="H490" s="21">
        <v>20</v>
      </c>
      <c r="I490" s="21">
        <v>20</v>
      </c>
      <c r="J490" s="21" t="s">
        <v>914</v>
      </c>
      <c r="K490" s="24" t="s">
        <v>288</v>
      </c>
      <c r="L490" s="24" t="s">
        <v>288</v>
      </c>
      <c r="N490" s="269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21" t="s">
        <v>914</v>
      </c>
      <c r="G491" s="273">
        <v>37073</v>
      </c>
      <c r="H491" s="273">
        <v>37803</v>
      </c>
      <c r="I491" s="273">
        <v>38534</v>
      </c>
      <c r="J491" s="21" t="s">
        <v>914</v>
      </c>
      <c r="K491" s="24" t="s">
        <v>288</v>
      </c>
      <c r="L491" s="24" t="s">
        <v>288</v>
      </c>
      <c r="N491" s="269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21" t="s">
        <v>915</v>
      </c>
      <c r="G492" s="273">
        <v>44378</v>
      </c>
      <c r="H492" s="273">
        <v>45108</v>
      </c>
      <c r="I492" s="273">
        <v>45839</v>
      </c>
      <c r="J492" s="21" t="s">
        <v>916</v>
      </c>
      <c r="K492" s="24" t="s">
        <v>288</v>
      </c>
      <c r="L492" s="24" t="s">
        <v>288</v>
      </c>
      <c r="N492" s="269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21" t="s">
        <v>914</v>
      </c>
      <c r="G493" s="274">
        <v>4704717.3499999996</v>
      </c>
      <c r="H493" s="274">
        <v>3237000</v>
      </c>
      <c r="I493" s="274">
        <v>1378525</v>
      </c>
      <c r="J493" s="274">
        <f>392000+1600991.08</f>
        <v>1992991.08</v>
      </c>
      <c r="K493" s="24" t="s">
        <v>288</v>
      </c>
      <c r="L493" s="24" t="s">
        <v>288</v>
      </c>
      <c r="N493" s="269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21" t="s">
        <v>914</v>
      </c>
      <c r="G494" s="21"/>
      <c r="H494" s="21"/>
      <c r="I494" s="21"/>
      <c r="J494" s="21"/>
      <c r="K494" s="24" t="s">
        <v>288</v>
      </c>
      <c r="L494" s="24" t="s">
        <v>288</v>
      </c>
      <c r="N494" s="269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429018.15</v>
      </c>
      <c r="G495" s="18">
        <v>123424</v>
      </c>
      <c r="H495" s="18">
        <v>1027340.8</v>
      </c>
      <c r="I495" s="18">
        <v>1107000</v>
      </c>
      <c r="J495" s="18">
        <v>15714365.07</v>
      </c>
      <c r="K495" s="53">
        <f>SUM(F495:J495)</f>
        <v>18401148.02</v>
      </c>
      <c r="L495" s="24" t="s">
        <v>288</v>
      </c>
      <c r="N495" s="269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>
        <v>2135354.1</v>
      </c>
      <c r="K496" s="53">
        <f t="shared" ref="K496:K503" si="35">SUM(F496:J496)</f>
        <v>2135354.1</v>
      </c>
      <c r="L496" s="24" t="s">
        <v>288</v>
      </c>
      <c r="N496" s="269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69"/>
    </row>
    <row r="498" spans="1:14" s="52" customFormat="1" ht="12" customHeight="1" x14ac:dyDescent="0.2">
      <c r="A498" s="198" t="s">
        <v>625</v>
      </c>
      <c r="B498" s="199">
        <v>20</v>
      </c>
      <c r="C498" s="200">
        <v>9</v>
      </c>
      <c r="D498" s="201" t="s">
        <v>432</v>
      </c>
      <c r="E498" s="200"/>
      <c r="F498" s="202">
        <v>199600.54</v>
      </c>
      <c r="G498" s="202">
        <v>92568</v>
      </c>
      <c r="H498" s="202">
        <v>820151.9</v>
      </c>
      <c r="I498" s="202">
        <v>947000</v>
      </c>
      <c r="J498" s="202">
        <v>16988184.18</v>
      </c>
      <c r="K498" s="203">
        <f t="shared" si="35"/>
        <v>19047504.620000001</v>
      </c>
      <c r="L498" s="204" t="s">
        <v>288</v>
      </c>
      <c r="N498" s="269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7537.2</v>
      </c>
      <c r="G499" s="18">
        <v>4322.58</v>
      </c>
      <c r="H499" s="18">
        <v>32623.54</v>
      </c>
      <c r="I499" s="18">
        <v>129999.5</v>
      </c>
      <c r="J499" s="18">
        <v>4930547.93</v>
      </c>
      <c r="K499" s="53">
        <f t="shared" si="35"/>
        <v>5105030.75</v>
      </c>
      <c r="L499" s="24" t="s">
        <v>288</v>
      </c>
      <c r="N499" s="269"/>
    </row>
    <row r="500" spans="1:14" s="52" customFormat="1" ht="12" customHeight="1" thickTop="1" x14ac:dyDescent="0.2">
      <c r="A500" s="139" t="s">
        <v>627</v>
      </c>
      <c r="B500" s="44">
        <v>20</v>
      </c>
      <c r="C500" s="193">
        <v>11</v>
      </c>
      <c r="D500" s="39" t="s">
        <v>432</v>
      </c>
      <c r="E500" s="193"/>
      <c r="F500" s="42">
        <f>SUM(F498:F499)</f>
        <v>207137.74000000002</v>
      </c>
      <c r="G500" s="42">
        <f>SUM(G498:G499)</f>
        <v>96890.58</v>
      </c>
      <c r="H500" s="42">
        <f>SUM(H498:H499)</f>
        <v>852775.44000000006</v>
      </c>
      <c r="I500" s="42">
        <f>SUM(I498:I499)</f>
        <v>1076999.5</v>
      </c>
      <c r="J500" s="42">
        <f>SUM(J498:J499)</f>
        <v>21918732.109999999</v>
      </c>
      <c r="K500" s="42">
        <f t="shared" si="35"/>
        <v>24152535.369999997</v>
      </c>
      <c r="L500" s="45" t="s">
        <v>288</v>
      </c>
      <c r="N500" s="269"/>
    </row>
    <row r="501" spans="1:14" s="52" customFormat="1" ht="12" customHeight="1" x14ac:dyDescent="0.2">
      <c r="A501" s="198" t="s">
        <v>654</v>
      </c>
      <c r="B501" s="199">
        <v>20</v>
      </c>
      <c r="C501" s="200">
        <v>12</v>
      </c>
      <c r="D501" s="201" t="s">
        <v>432</v>
      </c>
      <c r="E501" s="200"/>
      <c r="F501" s="202">
        <v>199600.54</v>
      </c>
      <c r="G501" s="202">
        <v>30856</v>
      </c>
      <c r="H501" s="202">
        <v>206026.17</v>
      </c>
      <c r="I501" s="202">
        <v>160000</v>
      </c>
      <c r="J501" s="202">
        <v>995437.09</v>
      </c>
      <c r="K501" s="203">
        <f t="shared" si="35"/>
        <v>1591919.7999999998</v>
      </c>
      <c r="L501" s="204" t="s">
        <v>288</v>
      </c>
      <c r="N501" s="269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7537.2</v>
      </c>
      <c r="G502" s="18">
        <v>2892.76</v>
      </c>
      <c r="H502" s="18">
        <v>13948.49</v>
      </c>
      <c r="I502" s="18">
        <v>40029</v>
      </c>
      <c r="J502" s="18">
        <v>585264.84</v>
      </c>
      <c r="K502" s="53">
        <f t="shared" si="35"/>
        <v>649672.28999999992</v>
      </c>
      <c r="L502" s="24" t="s">
        <v>288</v>
      </c>
      <c r="N502" s="269"/>
    </row>
    <row r="503" spans="1:14" s="52" customFormat="1" ht="12" customHeight="1" thickTop="1" x14ac:dyDescent="0.2">
      <c r="A503" s="139" t="s">
        <v>629</v>
      </c>
      <c r="B503" s="44">
        <v>20</v>
      </c>
      <c r="C503" s="193">
        <v>14</v>
      </c>
      <c r="D503" s="39" t="s">
        <v>432</v>
      </c>
      <c r="E503" s="193"/>
      <c r="F503" s="42">
        <f>SUM(F501:F502)</f>
        <v>207137.74000000002</v>
      </c>
      <c r="G503" s="42">
        <f>SUM(G501:G502)</f>
        <v>33748.76</v>
      </c>
      <c r="H503" s="42">
        <f>SUM(H501:H502)</f>
        <v>219974.66</v>
      </c>
      <c r="I503" s="42">
        <f>SUM(I501:I502)</f>
        <v>200029</v>
      </c>
      <c r="J503" s="42">
        <f>SUM(J501:J502)</f>
        <v>1580701.93</v>
      </c>
      <c r="K503" s="42">
        <f t="shared" si="35"/>
        <v>2241592.09</v>
      </c>
      <c r="L503" s="45" t="s">
        <v>288</v>
      </c>
      <c r="N503" s="269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69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69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69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69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69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69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69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69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69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69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69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69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69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69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5" t="s">
        <v>692</v>
      </c>
      <c r="G518" s="175" t="s">
        <v>693</v>
      </c>
      <c r="H518" s="175" t="s">
        <v>694</v>
      </c>
      <c r="I518" s="175" t="s">
        <v>695</v>
      </c>
      <c r="J518" s="175" t="s">
        <v>696</v>
      </c>
      <c r="K518" s="175" t="s">
        <v>697</v>
      </c>
      <c r="L518" s="106"/>
      <c r="N518" s="269"/>
    </row>
    <row r="519" spans="1:14" s="52" customFormat="1" ht="12" customHeight="1" x14ac:dyDescent="0.2">
      <c r="A519" s="176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69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69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5057605.62-0.01</f>
        <v>5057605.6100000003</v>
      </c>
      <c r="G521" s="18">
        <v>1700803.86</v>
      </c>
      <c r="H521" s="18">
        <v>877114.93</v>
      </c>
      <c r="I521" s="18">
        <v>21031.42</v>
      </c>
      <c r="J521" s="18"/>
      <c r="K521" s="18">
        <v>1000</v>
      </c>
      <c r="L521" s="88">
        <f>SUM(F521:K521)</f>
        <v>7657555.8200000003</v>
      </c>
      <c r="N521" s="269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1351758.39</v>
      </c>
      <c r="G522" s="18">
        <v>600777.99</v>
      </c>
      <c r="H522" s="18">
        <v>1023925.62</v>
      </c>
      <c r="I522" s="18">
        <v>9985.2800000000007</v>
      </c>
      <c r="J522" s="18"/>
      <c r="K522" s="18">
        <v>905</v>
      </c>
      <c r="L522" s="88">
        <f>SUM(F522:K522)</f>
        <v>2987352.28</v>
      </c>
      <c r="N522" s="269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1059797.78</v>
      </c>
      <c r="G523" s="18">
        <v>448073.16</v>
      </c>
      <c r="H523" s="18">
        <v>1382907.24</v>
      </c>
      <c r="I523" s="18">
        <v>8337.57</v>
      </c>
      <c r="J523" s="18"/>
      <c r="K523" s="18">
        <v>680</v>
      </c>
      <c r="L523" s="88">
        <f>SUM(F523:K523)</f>
        <v>2899795.7499999995</v>
      </c>
      <c r="N523" s="269"/>
    </row>
    <row r="524" spans="1:14" s="52" customFormat="1" ht="12" customHeight="1" thickTop="1" x14ac:dyDescent="0.2">
      <c r="A524" s="139" t="s">
        <v>63</v>
      </c>
      <c r="B524" s="107">
        <v>21</v>
      </c>
      <c r="C524" s="193">
        <v>4</v>
      </c>
      <c r="D524" s="194" t="s">
        <v>432</v>
      </c>
      <c r="E524" s="193"/>
      <c r="F524" s="108">
        <f>SUM(F521:F523)</f>
        <v>7469161.7800000003</v>
      </c>
      <c r="G524" s="108">
        <f t="shared" ref="G524:L524" si="36">SUM(G521:G523)</f>
        <v>2749655.0100000002</v>
      </c>
      <c r="H524" s="108">
        <f t="shared" si="36"/>
        <v>3283947.79</v>
      </c>
      <c r="I524" s="108">
        <f t="shared" si="36"/>
        <v>39354.269999999997</v>
      </c>
      <c r="J524" s="108">
        <f t="shared" si="36"/>
        <v>0</v>
      </c>
      <c r="K524" s="108">
        <f t="shared" si="36"/>
        <v>2585</v>
      </c>
      <c r="L524" s="89">
        <f t="shared" si="36"/>
        <v>13544703.85</v>
      </c>
      <c r="N524" s="269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69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301210.01-0.01</f>
        <v>301210</v>
      </c>
      <c r="G526" s="18">
        <v>124002.62</v>
      </c>
      <c r="H526" s="18">
        <v>894601.24</v>
      </c>
      <c r="I526" s="18"/>
      <c r="J526" s="18"/>
      <c r="K526" s="18"/>
      <c r="L526" s="88">
        <f>SUM(F526:K526)</f>
        <v>1319813.8599999999</v>
      </c>
      <c r="M526" s="8"/>
      <c r="N526" s="270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123168.44</v>
      </c>
      <c r="G527" s="18">
        <v>51694.46</v>
      </c>
      <c r="H527" s="18">
        <v>193173.13</v>
      </c>
      <c r="I527" s="18"/>
      <c r="J527" s="18"/>
      <c r="K527" s="18"/>
      <c r="L527" s="88">
        <f>SUM(F527:K527)</f>
        <v>368036.03</v>
      </c>
      <c r="M527" s="8"/>
      <c r="N527" s="270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199415.58</v>
      </c>
      <c r="G528" s="18">
        <v>83695.8</v>
      </c>
      <c r="H528" s="18">
        <v>576575.32999999996</v>
      </c>
      <c r="I528" s="18"/>
      <c r="J528" s="18"/>
      <c r="K528" s="18"/>
      <c r="L528" s="88">
        <f>SUM(F528:K528)</f>
        <v>859686.71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6" t="s">
        <v>432</v>
      </c>
      <c r="E529" s="107"/>
      <c r="F529" s="89">
        <f>SUM(F526:F528)</f>
        <v>623794.02</v>
      </c>
      <c r="G529" s="89">
        <f t="shared" ref="G529:L529" si="37">SUM(G526:G528)</f>
        <v>259392.88</v>
      </c>
      <c r="H529" s="89">
        <f t="shared" si="37"/>
        <v>1664349.7000000002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2547536.5999999996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0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f>175368.79-0.03</f>
        <v>175368.76</v>
      </c>
      <c r="G531" s="18">
        <v>64995.45</v>
      </c>
      <c r="H531" s="18">
        <v>8721.14</v>
      </c>
      <c r="I531" s="18"/>
      <c r="J531" s="18"/>
      <c r="K531" s="18">
        <v>40022.19</v>
      </c>
      <c r="L531" s="88">
        <f>SUM(F531:K531)</f>
        <v>289107.54000000004</v>
      </c>
      <c r="M531" s="8"/>
      <c r="N531" s="270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81838.77</v>
      </c>
      <c r="G532" s="18">
        <v>30331.21</v>
      </c>
      <c r="H532" s="18">
        <v>4069.87</v>
      </c>
      <c r="I532" s="18"/>
      <c r="J532" s="18"/>
      <c r="K532" s="18">
        <v>18677.02</v>
      </c>
      <c r="L532" s="88">
        <f>SUM(F532:K532)</f>
        <v>134916.87</v>
      </c>
      <c r="M532" s="8"/>
      <c r="N532" s="270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132500.87</v>
      </c>
      <c r="G533" s="18">
        <v>49107.67</v>
      </c>
      <c r="H533" s="18">
        <v>6589.31</v>
      </c>
      <c r="I533" s="18"/>
      <c r="J533" s="18"/>
      <c r="K533" s="18">
        <v>32191.83</v>
      </c>
      <c r="L533" s="88">
        <f>SUM(F533:K533)</f>
        <v>220389.68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6" t="s">
        <v>432</v>
      </c>
      <c r="E534" s="107"/>
      <c r="F534" s="89">
        <f>SUM(F531:F533)</f>
        <v>389708.4</v>
      </c>
      <c r="G534" s="89">
        <f t="shared" ref="G534:L534" si="38">SUM(G531:G533)</f>
        <v>144434.33000000002</v>
      </c>
      <c r="H534" s="89">
        <f t="shared" si="38"/>
        <v>19380.32</v>
      </c>
      <c r="I534" s="89">
        <f t="shared" si="38"/>
        <v>0</v>
      </c>
      <c r="J534" s="89">
        <f t="shared" si="38"/>
        <v>0</v>
      </c>
      <c r="K534" s="89">
        <f t="shared" si="38"/>
        <v>90891.040000000008</v>
      </c>
      <c r="L534" s="89">
        <f t="shared" si="38"/>
        <v>644414.09000000008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2" t="s">
        <v>288</v>
      </c>
      <c r="G535" s="192" t="s">
        <v>288</v>
      </c>
      <c r="H535" s="192" t="s">
        <v>288</v>
      </c>
      <c r="I535" s="192" t="s">
        <v>288</v>
      </c>
      <c r="J535" s="192" t="s">
        <v>288</v>
      </c>
      <c r="K535" s="192" t="s">
        <v>288</v>
      </c>
      <c r="L535" s="192" t="s">
        <v>288</v>
      </c>
      <c r="M535" s="8"/>
      <c r="N535" s="270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10583.75</v>
      </c>
      <c r="I536" s="18"/>
      <c r="J536" s="18"/>
      <c r="K536" s="18"/>
      <c r="L536" s="88">
        <f>SUM(F536:K536)</f>
        <v>10583.75</v>
      </c>
      <c r="M536" s="8"/>
      <c r="N536" s="270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4939.08</v>
      </c>
      <c r="I537" s="18"/>
      <c r="J537" s="18"/>
      <c r="K537" s="18"/>
      <c r="L537" s="88">
        <f>SUM(F537:K537)</f>
        <v>4939.08</v>
      </c>
      <c r="M537" s="8"/>
      <c r="N537" s="270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7996.61</v>
      </c>
      <c r="I538" s="18"/>
      <c r="J538" s="18"/>
      <c r="K538" s="18"/>
      <c r="L538" s="88">
        <f>SUM(F538:K538)</f>
        <v>7996.61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6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23519.439999999999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23519.439999999999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0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438911.36</v>
      </c>
      <c r="I541" s="18"/>
      <c r="J541" s="18"/>
      <c r="K541" s="18"/>
      <c r="L541" s="88">
        <f>SUM(F541:K541)</f>
        <v>438911.36</v>
      </c>
      <c r="M541" s="8"/>
      <c r="N541" s="270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275152.82</v>
      </c>
      <c r="I542" s="18"/>
      <c r="J542" s="18"/>
      <c r="K542" s="18"/>
      <c r="L542" s="88">
        <f>SUM(F542:K542)</f>
        <v>275152.82</v>
      </c>
      <c r="M542" s="8"/>
      <c r="N542" s="270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371880.33</v>
      </c>
      <c r="I543" s="18"/>
      <c r="J543" s="18"/>
      <c r="K543" s="18"/>
      <c r="L543" s="88">
        <f>SUM(F543:K543)</f>
        <v>371880.33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89">
        <v>21</v>
      </c>
      <c r="C544" s="189">
        <v>20</v>
      </c>
      <c r="D544" s="190" t="s">
        <v>432</v>
      </c>
      <c r="E544" s="189"/>
      <c r="F544" s="191">
        <f>SUM(F541:F543)</f>
        <v>0</v>
      </c>
      <c r="G544" s="191">
        <f t="shared" ref="G544:L544" si="40">SUM(G541:G543)</f>
        <v>0</v>
      </c>
      <c r="H544" s="191">
        <f t="shared" si="40"/>
        <v>1085944.51</v>
      </c>
      <c r="I544" s="191">
        <f t="shared" si="40"/>
        <v>0</v>
      </c>
      <c r="J544" s="191">
        <f t="shared" si="40"/>
        <v>0</v>
      </c>
      <c r="K544" s="191">
        <f t="shared" si="40"/>
        <v>0</v>
      </c>
      <c r="L544" s="191">
        <f t="shared" si="40"/>
        <v>1085944.51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6" t="s">
        <v>432</v>
      </c>
      <c r="E545" s="107"/>
      <c r="F545" s="89">
        <f>F524+F529+F534+F539+F544</f>
        <v>8482664.2000000011</v>
      </c>
      <c r="G545" s="89">
        <f t="shared" ref="G545:L545" si="41">G524+G529+G534+G539+G544</f>
        <v>3153482.22</v>
      </c>
      <c r="H545" s="89">
        <f t="shared" si="41"/>
        <v>6077141.7600000007</v>
      </c>
      <c r="I545" s="89">
        <f t="shared" si="41"/>
        <v>39354.269999999997</v>
      </c>
      <c r="J545" s="89">
        <f t="shared" si="41"/>
        <v>0</v>
      </c>
      <c r="K545" s="89">
        <f t="shared" si="41"/>
        <v>93476.040000000008</v>
      </c>
      <c r="L545" s="89">
        <f t="shared" si="41"/>
        <v>17846118.489999998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0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7657555.8200000003</v>
      </c>
      <c r="G549" s="87">
        <f>L526</f>
        <v>1319813.8599999999</v>
      </c>
      <c r="H549" s="87">
        <f>L531</f>
        <v>289107.54000000004</v>
      </c>
      <c r="I549" s="87">
        <f>L536</f>
        <v>10583.75</v>
      </c>
      <c r="J549" s="87">
        <f>L541</f>
        <v>438911.36</v>
      </c>
      <c r="K549" s="87">
        <f>SUM(F549:J549)</f>
        <v>9715972.3299999982</v>
      </c>
      <c r="L549" s="24" t="s">
        <v>288</v>
      </c>
      <c r="M549" s="8"/>
      <c r="N549" s="270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2987352.28</v>
      </c>
      <c r="G550" s="87">
        <f>L527</f>
        <v>368036.03</v>
      </c>
      <c r="H550" s="87">
        <f>L532</f>
        <v>134916.87</v>
      </c>
      <c r="I550" s="87">
        <f>L537</f>
        <v>4939.08</v>
      </c>
      <c r="J550" s="87">
        <f>L542</f>
        <v>275152.82</v>
      </c>
      <c r="K550" s="87">
        <f>SUM(F550:J550)</f>
        <v>3770397.0799999996</v>
      </c>
      <c r="L550" s="24" t="s">
        <v>288</v>
      </c>
      <c r="M550" s="8"/>
      <c r="N550" s="270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2899795.7499999995</v>
      </c>
      <c r="G551" s="87">
        <f>L528</f>
        <v>859686.71</v>
      </c>
      <c r="H551" s="87">
        <f>L533</f>
        <v>220389.68</v>
      </c>
      <c r="I551" s="87">
        <f>L538</f>
        <v>7996.61</v>
      </c>
      <c r="J551" s="87">
        <f>L543</f>
        <v>371880.33</v>
      </c>
      <c r="K551" s="87">
        <f>SUM(F551:J551)</f>
        <v>4359749.0799999991</v>
      </c>
      <c r="L551" s="24" t="s">
        <v>288</v>
      </c>
      <c r="M551" s="8"/>
      <c r="N551" s="270"/>
    </row>
    <row r="552" spans="1:14" s="3" customFormat="1" ht="12" customHeight="1" thickTop="1" x14ac:dyDescent="0.15">
      <c r="A552" s="170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13544703.85</v>
      </c>
      <c r="G552" s="89">
        <f t="shared" si="42"/>
        <v>2547536.5999999996</v>
      </c>
      <c r="H552" s="89">
        <f t="shared" si="42"/>
        <v>644414.09000000008</v>
      </c>
      <c r="I552" s="89">
        <f t="shared" si="42"/>
        <v>23519.439999999999</v>
      </c>
      <c r="J552" s="89">
        <f t="shared" si="42"/>
        <v>1085944.51</v>
      </c>
      <c r="K552" s="89">
        <f t="shared" si="42"/>
        <v>17846118.489999998</v>
      </c>
      <c r="L552" s="24"/>
      <c r="M552" s="8"/>
      <c r="N552" s="270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5" t="s">
        <v>692</v>
      </c>
      <c r="G554" s="175" t="s">
        <v>693</v>
      </c>
      <c r="H554" s="175" t="s">
        <v>694</v>
      </c>
      <c r="I554" s="175" t="s">
        <v>695</v>
      </c>
      <c r="J554" s="175" t="s">
        <v>696</v>
      </c>
      <c r="K554" s="175" t="s">
        <v>697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0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>
        <v>374359.85</v>
      </c>
      <c r="G557" s="18">
        <v>145247.22</v>
      </c>
      <c r="H557" s="18">
        <v>81275.75</v>
      </c>
      <c r="I557" s="18">
        <v>74531.5</v>
      </c>
      <c r="J557" s="18">
        <v>8302.5</v>
      </c>
      <c r="K557" s="18">
        <v>19200.66</v>
      </c>
      <c r="L557" s="88">
        <f>SUM(F557:K557)</f>
        <v>702917.48</v>
      </c>
      <c r="M557" s="8"/>
      <c r="N557" s="270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>
        <v>134712.26999999999</v>
      </c>
      <c r="G558" s="18">
        <v>49937.23</v>
      </c>
      <c r="H558" s="18">
        <v>37928.68</v>
      </c>
      <c r="I558" s="18">
        <v>34137.1</v>
      </c>
      <c r="J558" s="18">
        <v>3874.5</v>
      </c>
      <c r="K558" s="18">
        <v>8960.31</v>
      </c>
      <c r="L558" s="88">
        <f>SUM(F558:K558)</f>
        <v>269550.09000000003</v>
      </c>
      <c r="M558" s="8"/>
      <c r="N558" s="270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>
        <v>218105.56</v>
      </c>
      <c r="G559" s="18">
        <v>80850.75</v>
      </c>
      <c r="H559" s="18">
        <v>61408.34</v>
      </c>
      <c r="I559" s="18">
        <v>55269.599999999999</v>
      </c>
      <c r="J559" s="18">
        <v>6273</v>
      </c>
      <c r="K559" s="18">
        <v>14507.16</v>
      </c>
      <c r="L559" s="88">
        <f>SUM(F559:K559)</f>
        <v>436414.41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3">
        <v>4</v>
      </c>
      <c r="D560" s="194" t="s">
        <v>432</v>
      </c>
      <c r="E560" s="193"/>
      <c r="F560" s="108">
        <f t="shared" ref="F560:L560" si="43">SUM(F557:F559)</f>
        <v>727177.67999999993</v>
      </c>
      <c r="G560" s="108">
        <f t="shared" si="43"/>
        <v>276035.20000000001</v>
      </c>
      <c r="H560" s="108">
        <f t="shared" si="43"/>
        <v>180612.77</v>
      </c>
      <c r="I560" s="108">
        <f t="shared" si="43"/>
        <v>163938.20000000001</v>
      </c>
      <c r="J560" s="108">
        <f t="shared" si="43"/>
        <v>18450</v>
      </c>
      <c r="K560" s="108">
        <f t="shared" si="43"/>
        <v>42668.130000000005</v>
      </c>
      <c r="L560" s="89">
        <f t="shared" si="43"/>
        <v>1408881.98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0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4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0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89">
        <v>22</v>
      </c>
      <c r="C570" s="189">
        <v>12</v>
      </c>
      <c r="D570" s="195" t="s">
        <v>432</v>
      </c>
      <c r="E570" s="189"/>
      <c r="F570" s="191">
        <f>SUM(F567:F569)</f>
        <v>0</v>
      </c>
      <c r="G570" s="191">
        <f t="shared" ref="G570:L570" si="45">SUM(G567:G569)</f>
        <v>0</v>
      </c>
      <c r="H570" s="191">
        <f t="shared" si="45"/>
        <v>0</v>
      </c>
      <c r="I570" s="191">
        <f t="shared" si="45"/>
        <v>0</v>
      </c>
      <c r="J570" s="191">
        <f t="shared" si="45"/>
        <v>0</v>
      </c>
      <c r="K570" s="191">
        <f t="shared" si="45"/>
        <v>0</v>
      </c>
      <c r="L570" s="191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6" t="s">
        <v>432</v>
      </c>
      <c r="E571" s="107"/>
      <c r="F571" s="89">
        <f>F560+F565+F570</f>
        <v>727177.67999999993</v>
      </c>
      <c r="G571" s="89">
        <f t="shared" ref="G571:L571" si="46">G560+G565+G570</f>
        <v>276035.20000000001</v>
      </c>
      <c r="H571" s="89">
        <f t="shared" si="46"/>
        <v>180612.77</v>
      </c>
      <c r="I571" s="89">
        <f t="shared" si="46"/>
        <v>163938.20000000001</v>
      </c>
      <c r="J571" s="89">
        <f t="shared" si="46"/>
        <v>18450</v>
      </c>
      <c r="K571" s="89">
        <f t="shared" si="46"/>
        <v>42668.130000000005</v>
      </c>
      <c r="L571" s="89">
        <f t="shared" si="46"/>
        <v>1408881.98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0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37700</v>
      </c>
      <c r="I575" s="87">
        <f>SUM(F575:H575)</f>
        <v>37700</v>
      </c>
      <c r="J575" s="24" t="s">
        <v>288</v>
      </c>
      <c r="K575" s="24" t="s">
        <v>288</v>
      </c>
      <c r="L575" s="24" t="s">
        <v>288</v>
      </c>
      <c r="M575" s="8"/>
      <c r="N575" s="270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0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0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0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f>17727.51+57210.79</f>
        <v>74938.3</v>
      </c>
      <c r="G579" s="18">
        <v>24017.65</v>
      </c>
      <c r="H579" s="18">
        <v>48195.71</v>
      </c>
      <c r="I579" s="87">
        <f t="shared" si="47"/>
        <v>147151.66</v>
      </c>
      <c r="J579" s="24" t="s">
        <v>288</v>
      </c>
      <c r="K579" s="24" t="s">
        <v>288</v>
      </c>
      <c r="L579" s="24" t="s">
        <v>288</v>
      </c>
      <c r="M579" s="8"/>
      <c r="N579" s="270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0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0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f>403461.46+384847.67</f>
        <v>788309.13</v>
      </c>
      <c r="G582" s="18">
        <v>997848.45</v>
      </c>
      <c r="H582" s="18">
        <v>1331721.8</v>
      </c>
      <c r="I582" s="87">
        <f t="shared" si="47"/>
        <v>3117879.38</v>
      </c>
      <c r="J582" s="24" t="s">
        <v>288</v>
      </c>
      <c r="K582" s="24" t="s">
        <v>288</v>
      </c>
      <c r="L582" s="24" t="s">
        <v>288</v>
      </c>
      <c r="M582" s="8"/>
      <c r="N582" s="270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0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26722.83</v>
      </c>
      <c r="I584" s="87">
        <f t="shared" si="47"/>
        <v>26722.83</v>
      </c>
      <c r="J584" s="24" t="s">
        <v>288</v>
      </c>
      <c r="K584" s="24" t="s">
        <v>288</v>
      </c>
      <c r="L584" s="24" t="s">
        <v>288</v>
      </c>
      <c r="M584" s="8"/>
      <c r="N584" s="270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0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0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0"/>
    </row>
    <row r="588" spans="1:14" s="3" customFormat="1" ht="12" customHeight="1" x14ac:dyDescent="0.15">
      <c r="A588" s="171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481108.57</v>
      </c>
      <c r="I591" s="18">
        <v>219636.52</v>
      </c>
      <c r="J591" s="18">
        <v>345143.11</v>
      </c>
      <c r="K591" s="104">
        <f t="shared" ref="K591:K597" si="48">SUM(H591:J591)</f>
        <v>1045888.2</v>
      </c>
      <c r="L591" s="24" t="s">
        <v>288</v>
      </c>
      <c r="M591" s="8"/>
      <c r="N591" s="270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438911.36</v>
      </c>
      <c r="I592" s="18">
        <v>275152.82</v>
      </c>
      <c r="J592" s="18">
        <v>371880.33</v>
      </c>
      <c r="K592" s="104">
        <f t="shared" si="48"/>
        <v>1085944.51</v>
      </c>
      <c r="L592" s="24" t="s">
        <v>288</v>
      </c>
      <c r="M592" s="8"/>
      <c r="N592" s="270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43740</v>
      </c>
      <c r="K593" s="104">
        <f t="shared" si="48"/>
        <v>43740</v>
      </c>
      <c r="L593" s="24" t="s">
        <v>288</v>
      </c>
      <c r="M593" s="8"/>
      <c r="N593" s="270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8000</v>
      </c>
      <c r="J594" s="18">
        <v>81879.929999999993</v>
      </c>
      <c r="K594" s="104">
        <f t="shared" si="48"/>
        <v>89879.93</v>
      </c>
      <c r="L594" s="24" t="s">
        <v>288</v>
      </c>
      <c r="M594" s="8"/>
      <c r="N594" s="270"/>
    </row>
    <row r="595" spans="1:14" s="3" customFormat="1" ht="12" customHeight="1" x14ac:dyDescent="0.15">
      <c r="A595" s="169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>
        <v>2098.3200000000002</v>
      </c>
      <c r="J595" s="18">
        <v>8262.8799999999992</v>
      </c>
      <c r="K595" s="104">
        <f t="shared" si="48"/>
        <v>10361.199999999999</v>
      </c>
      <c r="L595" s="24" t="s">
        <v>288</v>
      </c>
      <c r="M595" s="8"/>
      <c r="N595" s="270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0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0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920019.92999999993</v>
      </c>
      <c r="I598" s="108">
        <f>SUM(I591:I597)</f>
        <v>504887.66</v>
      </c>
      <c r="J598" s="108">
        <f>SUM(J591:J597)</f>
        <v>850906.24999999988</v>
      </c>
      <c r="K598" s="108">
        <f>SUM(K591:K597)</f>
        <v>2275813.8400000003</v>
      </c>
      <c r="L598" s="24" t="s">
        <v>288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0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0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62877.41</v>
      </c>
      <c r="I604" s="18">
        <v>33761.279999999999</v>
      </c>
      <c r="J604" s="18">
        <v>106881.79</v>
      </c>
      <c r="K604" s="104">
        <f>SUM(H604:J604)</f>
        <v>203520.47999999998</v>
      </c>
      <c r="L604" s="24" t="s">
        <v>288</v>
      </c>
      <c r="M604" s="8"/>
      <c r="N604" s="270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62877.41</v>
      </c>
      <c r="I605" s="108">
        <f>SUM(I602:I604)</f>
        <v>33761.279999999999</v>
      </c>
      <c r="J605" s="108">
        <f>SUM(J602:J604)</f>
        <v>106881.79</v>
      </c>
      <c r="K605" s="108">
        <f>SUM(K602:K604)</f>
        <v>203520.47999999998</v>
      </c>
      <c r="L605" s="24" t="s">
        <v>288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5" t="s">
        <v>692</v>
      </c>
      <c r="G609" s="175" t="s">
        <v>693</v>
      </c>
      <c r="H609" s="175" t="s">
        <v>694</v>
      </c>
      <c r="I609" s="175" t="s">
        <v>695</v>
      </c>
      <c r="J609" s="175" t="s">
        <v>696</v>
      </c>
      <c r="K609" s="175" t="s">
        <v>697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11192.5</v>
      </c>
      <c r="G612" s="18">
        <v>2692.07</v>
      </c>
      <c r="H612" s="18"/>
      <c r="I612" s="18"/>
      <c r="J612" s="18"/>
      <c r="K612" s="18"/>
      <c r="L612" s="88">
        <f>SUM(F612:K612)</f>
        <v>13884.57</v>
      </c>
      <c r="M612" s="8"/>
      <c r="N612" s="270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18867.25</v>
      </c>
      <c r="G613" s="18">
        <v>4148.8</v>
      </c>
      <c r="H613" s="18"/>
      <c r="I613" s="18"/>
      <c r="J613" s="18"/>
      <c r="K613" s="18"/>
      <c r="L613" s="88">
        <f>SUM(F613:K613)</f>
        <v>23016.05</v>
      </c>
      <c r="M613" s="8"/>
      <c r="N613" s="270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30059.75</v>
      </c>
      <c r="G614" s="108">
        <f t="shared" si="49"/>
        <v>6840.8700000000008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36900.619999999995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0</v>
      </c>
      <c r="H617" s="109">
        <f>SUM(F52)</f>
        <v>0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288940.18</v>
      </c>
      <c r="H618" s="109">
        <f>SUM(G52)</f>
        <v>288940.18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745735.7</v>
      </c>
      <c r="H619" s="109">
        <f>SUM(H52)</f>
        <v>745735.7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16981607.859999999</v>
      </c>
      <c r="H620" s="109">
        <f>SUM(I52)</f>
        <v>16981607.859999999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0</v>
      </c>
      <c r="H621" s="109">
        <f>SUM(J52)</f>
        <v>0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124225.95</v>
      </c>
      <c r="H623" s="109">
        <f>G476</f>
        <v>124225.95000000019</v>
      </c>
      <c r="I623" s="121" t="s">
        <v>102</v>
      </c>
      <c r="J623" s="109">
        <f t="shared" si="50"/>
        <v>-1.8917489796876907E-10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16981607.859999999</v>
      </c>
      <c r="H625" s="109">
        <f>I476</f>
        <v>16981607.859999999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59292369.890000001</v>
      </c>
      <c r="H627" s="104">
        <f>SUM(F468)</f>
        <v>59292369.890000001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1815862.63</v>
      </c>
      <c r="H628" s="104">
        <f>SUM(G468)</f>
        <v>1815862.63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3639434.9999999995</v>
      </c>
      <c r="H629" s="104">
        <f>SUM(H468)</f>
        <v>3639435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16981607.859999999</v>
      </c>
      <c r="H630" s="104">
        <f>SUM(I468)</f>
        <v>16981607.859999999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59412129.200000003</v>
      </c>
      <c r="H632" s="104">
        <f>SUM(F472)</f>
        <v>59412129.200000003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3639434.9999999995</v>
      </c>
      <c r="H633" s="104">
        <f>SUM(H472)</f>
        <v>3639435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743533.2</v>
      </c>
      <c r="H634" s="104">
        <f>I369</f>
        <v>743533.20000000007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7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1899047.19</v>
      </c>
      <c r="H635" s="104">
        <f>SUM(G472)</f>
        <v>1899047.19</v>
      </c>
      <c r="I635" s="140" t="s">
        <v>114</v>
      </c>
      <c r="J635" s="109">
        <f t="shared" si="50"/>
        <v>0</v>
      </c>
      <c r="K635" s="85"/>
      <c r="L635" s="88"/>
      <c r="M635" s="166"/>
    </row>
    <row r="636" spans="1:13" s="167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2253831.62</v>
      </c>
      <c r="H636" s="104">
        <f>SUM(I472)</f>
        <v>2253831.62</v>
      </c>
      <c r="I636" s="140" t="s">
        <v>116</v>
      </c>
      <c r="J636" s="109">
        <f t="shared" si="50"/>
        <v>0</v>
      </c>
      <c r="K636" s="85"/>
      <c r="L636" s="88"/>
      <c r="M636" s="166"/>
    </row>
    <row r="637" spans="1:13" s="3" customFormat="1" ht="12" customHeight="1" x14ac:dyDescent="0.15">
      <c r="A637" s="159"/>
      <c r="B637" s="160"/>
      <c r="C637" s="160"/>
      <c r="D637" s="160"/>
      <c r="E637" s="160"/>
      <c r="F637" s="161" t="s">
        <v>477</v>
      </c>
      <c r="G637" s="151">
        <f>SUM(L408)</f>
        <v>0</v>
      </c>
      <c r="H637" s="162">
        <f>SUM(J468)</f>
        <v>0</v>
      </c>
      <c r="I637" s="163" t="s">
        <v>110</v>
      </c>
      <c r="J637" s="151">
        <f t="shared" si="50"/>
        <v>0</v>
      </c>
      <c r="K637" s="164"/>
      <c r="L637" s="165"/>
      <c r="M637" s="8"/>
    </row>
    <row r="638" spans="1:13" s="3" customFormat="1" ht="12" customHeight="1" x14ac:dyDescent="0.15">
      <c r="A638" s="159"/>
      <c r="B638" s="160"/>
      <c r="C638" s="160"/>
      <c r="D638" s="160"/>
      <c r="E638" s="160"/>
      <c r="F638" s="161" t="s">
        <v>478</v>
      </c>
      <c r="G638" s="151">
        <f>SUM(L434)</f>
        <v>0</v>
      </c>
      <c r="H638" s="162">
        <f>SUM(J472)</f>
        <v>0</v>
      </c>
      <c r="I638" s="163" t="s">
        <v>117</v>
      </c>
      <c r="J638" s="151">
        <f t="shared" si="50"/>
        <v>0</v>
      </c>
      <c r="K638" s="164"/>
      <c r="L638" s="165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0</v>
      </c>
      <c r="H646" s="104">
        <f>L408</f>
        <v>0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2275813.8400000003</v>
      </c>
      <c r="H647" s="104">
        <f>L208+L226+L244</f>
        <v>2275813.84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203520.47999999998</v>
      </c>
      <c r="H648" s="104">
        <f>(J257+J338)-(J255+J336)</f>
        <v>203520.47999999998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920019.93</v>
      </c>
      <c r="H649" s="104">
        <f>H598</f>
        <v>920019.92999999993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504887.66</v>
      </c>
      <c r="H650" s="104">
        <f>I598</f>
        <v>504887.66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850906.25</v>
      </c>
      <c r="H651" s="104">
        <f>J598</f>
        <v>850906.24999999988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2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29584830.989999998</v>
      </c>
      <c r="G660" s="19">
        <f>(L229+L309+L359)</f>
        <v>12991748.84</v>
      </c>
      <c r="H660" s="19">
        <f>(L247+L328+L360)</f>
        <v>20011799.550000004</v>
      </c>
      <c r="I660" s="19">
        <f>SUM(F660:H660)</f>
        <v>62588379.380000003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350575.52528868819</v>
      </c>
      <c r="G661" s="19">
        <f>(L359/IF(SUM(L358:L360)=0,1,SUM(L358:L360))*(SUM(G97:G110)))</f>
        <v>136681.88408227693</v>
      </c>
      <c r="H661" s="19">
        <f>(L360/IF(SUM(L358:L360)=0,1,SUM(L358:L360))*(SUM(G97:G110)))</f>
        <v>228418.72062903494</v>
      </c>
      <c r="I661" s="19">
        <f>SUM(F661:H661)</f>
        <v>715676.13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940719.93</v>
      </c>
      <c r="G662" s="19">
        <f>(L226+L306)-(J226+J306)</f>
        <v>514337.66</v>
      </c>
      <c r="H662" s="19">
        <f>(L244+L325)-(J244+J325)</f>
        <v>865756.25</v>
      </c>
      <c r="I662" s="19">
        <f>SUM(F662:H662)</f>
        <v>2320813.84</v>
      </c>
      <c r="J662"/>
      <c r="K662" s="13"/>
      <c r="L662" s="13"/>
      <c r="M662" s="8"/>
    </row>
    <row r="663" spans="1:13" s="3" customFormat="1" ht="12" customHeight="1" x14ac:dyDescent="0.15">
      <c r="A663" s="196" t="s">
        <v>129</v>
      </c>
      <c r="B663" s="167"/>
      <c r="C663" s="167"/>
      <c r="D663" s="167"/>
      <c r="E663" s="167"/>
      <c r="F663" s="197">
        <f>SUM(F575:F587)+SUM(H602:H604)+SUM(L611)</f>
        <v>926124.84000000008</v>
      </c>
      <c r="G663" s="197">
        <f>SUM(G575:G587)+SUM(I602:I604)+L612</f>
        <v>1069511.95</v>
      </c>
      <c r="H663" s="197">
        <f>SUM(H575:H587)+SUM(J602:J604)+L613</f>
        <v>1574238.1800000002</v>
      </c>
      <c r="I663" s="19">
        <f>SUM(F663:H663)</f>
        <v>3569874.97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27367410.694711309</v>
      </c>
      <c r="G664" s="19">
        <f>G660-SUM(G661:G663)</f>
        <v>11271217.345917724</v>
      </c>
      <c r="H664" s="19">
        <f>H660-SUM(H661:H663)</f>
        <v>17343386.399370968</v>
      </c>
      <c r="I664" s="19">
        <f>I660-SUM(I661:I663)</f>
        <v>55982014.440000005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5">
        <v>1891.51</v>
      </c>
      <c r="G665" s="246">
        <v>882.31</v>
      </c>
      <c r="H665" s="246">
        <v>1395.35</v>
      </c>
      <c r="I665" s="19">
        <f>SUM(F665:H665)</f>
        <v>4169.17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14468.55</v>
      </c>
      <c r="G667" s="19">
        <f>ROUND(G664/G665,2)</f>
        <v>12774.67</v>
      </c>
      <c r="H667" s="19">
        <f>ROUND(H664/H665,2)</f>
        <v>12429.42</v>
      </c>
      <c r="I667" s="19">
        <f>ROUND(I664/I665,2)</f>
        <v>13427.62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-4.22</v>
      </c>
      <c r="I670" s="19">
        <f>SUM(F670:H670)</f>
        <v>-4.22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14468.55</v>
      </c>
      <c r="G672" s="19">
        <f>ROUND((G664+G669)/(G665+G670),2)</f>
        <v>12774.67</v>
      </c>
      <c r="H672" s="19">
        <f>ROUND((H664+H669)/(H665+H670),2)</f>
        <v>12467.12</v>
      </c>
      <c r="I672" s="19">
        <f>ROUND((I664+I669)/(I665+I670),2)</f>
        <v>13441.22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1" t="s">
        <v>784</v>
      </c>
      <c r="B1" s="230" t="str">
        <f>'DOE25'!A2</f>
        <v>Rochester School Department</v>
      </c>
      <c r="C1" s="236" t="s">
        <v>838</v>
      </c>
    </row>
    <row r="2" spans="1:3" x14ac:dyDescent="0.2">
      <c r="A2" s="231"/>
      <c r="B2" s="230"/>
    </row>
    <row r="3" spans="1:3" x14ac:dyDescent="0.2">
      <c r="A3" s="278" t="s">
        <v>783</v>
      </c>
      <c r="B3" s="278"/>
      <c r="C3" s="278"/>
    </row>
    <row r="4" spans="1:3" x14ac:dyDescent="0.2">
      <c r="A4" s="234"/>
      <c r="B4" s="235" t="str">
        <f>'DOE25'!H1</f>
        <v>DOE 25  2016-2017</v>
      </c>
      <c r="C4" s="234"/>
    </row>
    <row r="5" spans="1:3" x14ac:dyDescent="0.2">
      <c r="A5" s="231"/>
      <c r="B5" s="230"/>
    </row>
    <row r="6" spans="1:3" x14ac:dyDescent="0.2">
      <c r="A6" s="225"/>
      <c r="B6" s="277" t="s">
        <v>782</v>
      </c>
      <c r="C6" s="277"/>
    </row>
    <row r="7" spans="1:3" x14ac:dyDescent="0.2">
      <c r="A7" s="237" t="s">
        <v>785</v>
      </c>
      <c r="B7" s="275" t="s">
        <v>781</v>
      </c>
      <c r="C7" s="276"/>
    </row>
    <row r="8" spans="1:3" x14ac:dyDescent="0.2">
      <c r="B8" s="226" t="s">
        <v>54</v>
      </c>
      <c r="C8" s="226" t="s">
        <v>775</v>
      </c>
    </row>
    <row r="9" spans="1:3" x14ac:dyDescent="0.2">
      <c r="A9" s="33" t="s">
        <v>776</v>
      </c>
      <c r="B9" s="227">
        <f>'DOE25'!F197+'DOE25'!F215+'DOE25'!F233+'DOE25'!F276+'DOE25'!F295+'DOE25'!F314</f>
        <v>16229909.829999998</v>
      </c>
      <c r="C9" s="227">
        <f>'DOE25'!G197+'DOE25'!G215+'DOE25'!G233+'DOE25'!G276+'DOE25'!G295+'DOE25'!G314</f>
        <v>6696947.8300000001</v>
      </c>
    </row>
    <row r="10" spans="1:3" x14ac:dyDescent="0.2">
      <c r="A10" t="s">
        <v>778</v>
      </c>
      <c r="B10" s="238">
        <f>15193047.37-180244.19</f>
        <v>15012803.18</v>
      </c>
      <c r="C10" s="238">
        <f>1148479.44+5202722.51</f>
        <v>6351201.9499999993</v>
      </c>
    </row>
    <row r="11" spans="1:3" x14ac:dyDescent="0.2">
      <c r="A11" t="s">
        <v>779</v>
      </c>
      <c r="B11" s="238">
        <v>701796.63</v>
      </c>
      <c r="C11" s="238">
        <f>53687.44+152637.22</f>
        <v>206324.66</v>
      </c>
    </row>
    <row r="12" spans="1:3" x14ac:dyDescent="0.2">
      <c r="A12" t="s">
        <v>780</v>
      </c>
      <c r="B12" s="238">
        <v>515310.02</v>
      </c>
      <c r="C12" s="238">
        <f>39421.22+100000</f>
        <v>139421.22</v>
      </c>
    </row>
    <row r="13" spans="1:3" x14ac:dyDescent="0.2">
      <c r="A13" t="str">
        <f>IF(B9=B13,IF(C9=C13,"Check Total OK","Check Total Error"),"Check Total Error")</f>
        <v>Check Total OK</v>
      </c>
      <c r="B13" s="229">
        <f>SUM(B10:B12)</f>
        <v>16229909.83</v>
      </c>
      <c r="C13" s="229">
        <f>SUM(C10:C12)</f>
        <v>6696947.8299999991</v>
      </c>
    </row>
    <row r="14" spans="1:3" x14ac:dyDescent="0.2">
      <c r="B14" s="228"/>
      <c r="C14" s="228"/>
    </row>
    <row r="15" spans="1:3" x14ac:dyDescent="0.2">
      <c r="B15" s="277" t="s">
        <v>782</v>
      </c>
      <c r="C15" s="277"/>
    </row>
    <row r="16" spans="1:3" x14ac:dyDescent="0.2">
      <c r="A16" s="237" t="s">
        <v>786</v>
      </c>
      <c r="B16" s="275" t="s">
        <v>706</v>
      </c>
      <c r="C16" s="276"/>
    </row>
    <row r="17" spans="1:3" x14ac:dyDescent="0.2">
      <c r="B17" s="226" t="s">
        <v>54</v>
      </c>
      <c r="C17" s="226" t="s">
        <v>775</v>
      </c>
    </row>
    <row r="18" spans="1:3" x14ac:dyDescent="0.2">
      <c r="A18" s="33" t="s">
        <v>776</v>
      </c>
      <c r="B18" s="227">
        <f>'DOE25'!F198+'DOE25'!F216+'DOE25'!F234+'DOE25'!F277+'DOE25'!F296+'DOE25'!F315</f>
        <v>8270861.6900000004</v>
      </c>
      <c r="C18" s="227">
        <f>'DOE25'!G198+'DOE25'!G216+'DOE25'!G234+'DOE25'!G277+'DOE25'!G296+'DOE25'!G315</f>
        <v>3071960.1599999997</v>
      </c>
    </row>
    <row r="19" spans="1:3" x14ac:dyDescent="0.2">
      <c r="A19" t="s">
        <v>778</v>
      </c>
      <c r="B19" s="238">
        <v>5241962.53</v>
      </c>
      <c r="C19" s="238">
        <f>401010.13+2136740.86</f>
        <v>2537750.9899999998</v>
      </c>
    </row>
    <row r="20" spans="1:3" x14ac:dyDescent="0.2">
      <c r="A20" t="s">
        <v>779</v>
      </c>
      <c r="B20" s="238">
        <f>2654299.98+165133.87</f>
        <v>2819433.85</v>
      </c>
      <c r="C20" s="238">
        <f>215686.7+267423.15</f>
        <v>483109.85000000003</v>
      </c>
    </row>
    <row r="21" spans="1:3" x14ac:dyDescent="0.2">
      <c r="A21" t="s">
        <v>780</v>
      </c>
      <c r="B21" s="238">
        <v>209465.31</v>
      </c>
      <c r="C21" s="238">
        <f>16024.1+35075.22</f>
        <v>51099.32</v>
      </c>
    </row>
    <row r="22" spans="1:3" x14ac:dyDescent="0.2">
      <c r="A22" t="str">
        <f>IF(B18=B22,IF(C18=C22,"Check Total OK","Check Total Error"),"Check Total Error")</f>
        <v>Check Total OK</v>
      </c>
      <c r="B22" s="229">
        <f>SUM(B19:B21)</f>
        <v>8270861.6900000004</v>
      </c>
      <c r="C22" s="229">
        <f>SUM(C19:C21)</f>
        <v>3071960.1599999997</v>
      </c>
    </row>
    <row r="23" spans="1:3" x14ac:dyDescent="0.2">
      <c r="B23" s="228"/>
      <c r="C23" s="228"/>
    </row>
    <row r="24" spans="1:3" x14ac:dyDescent="0.2">
      <c r="B24" s="277" t="s">
        <v>782</v>
      </c>
      <c r="C24" s="277"/>
    </row>
    <row r="25" spans="1:3" x14ac:dyDescent="0.2">
      <c r="A25" s="237" t="s">
        <v>787</v>
      </c>
      <c r="B25" s="275" t="s">
        <v>707</v>
      </c>
      <c r="C25" s="276"/>
    </row>
    <row r="26" spans="1:3" x14ac:dyDescent="0.2">
      <c r="B26" s="226" t="s">
        <v>54</v>
      </c>
      <c r="C26" s="226" t="s">
        <v>775</v>
      </c>
    </row>
    <row r="27" spans="1:3" x14ac:dyDescent="0.2">
      <c r="A27" s="33" t="s">
        <v>776</v>
      </c>
      <c r="B27" s="232">
        <f>'DOE25'!F199+'DOE25'!F217+'DOE25'!F235+'DOE25'!F278+'DOE25'!F297+'DOE25'!F316</f>
        <v>1156437.1499999999</v>
      </c>
      <c r="C27" s="232">
        <f>'DOE25'!G199+'DOE25'!G217+'DOE25'!G235+'DOE25'!G278+'DOE25'!G297+'DOE25'!G316</f>
        <v>464370.62</v>
      </c>
    </row>
    <row r="28" spans="1:3" x14ac:dyDescent="0.2">
      <c r="A28" t="s">
        <v>778</v>
      </c>
      <c r="B28" s="238">
        <v>1013622.1</v>
      </c>
      <c r="C28" s="238">
        <v>443409.91</v>
      </c>
    </row>
    <row r="29" spans="1:3" x14ac:dyDescent="0.2">
      <c r="A29" t="s">
        <v>779</v>
      </c>
      <c r="B29" s="238">
        <v>76570.28</v>
      </c>
      <c r="C29" s="238">
        <f>5857.63+10035.35</f>
        <v>15892.98</v>
      </c>
    </row>
    <row r="30" spans="1:3" x14ac:dyDescent="0.2">
      <c r="A30" t="s">
        <v>780</v>
      </c>
      <c r="B30" s="238">
        <f>60136.27+6108.5</f>
        <v>66244.76999999999</v>
      </c>
      <c r="C30" s="238">
        <v>5067.7299999999996</v>
      </c>
    </row>
    <row r="31" spans="1:3" x14ac:dyDescent="0.2">
      <c r="A31" t="str">
        <f>IF(B27=B31,IF(C27=C31,"Check Total OK","Check Total Error"),"Check Total Error")</f>
        <v>Check Total OK</v>
      </c>
      <c r="B31" s="229">
        <f>SUM(B28:B30)</f>
        <v>1156437.1499999999</v>
      </c>
      <c r="C31" s="229">
        <f>SUM(C28:C30)</f>
        <v>464370.61999999994</v>
      </c>
    </row>
    <row r="33" spans="1:3" x14ac:dyDescent="0.2">
      <c r="B33" s="277" t="s">
        <v>782</v>
      </c>
      <c r="C33" s="277"/>
    </row>
    <row r="34" spans="1:3" x14ac:dyDescent="0.2">
      <c r="A34" s="237" t="s">
        <v>788</v>
      </c>
      <c r="B34" s="275" t="s">
        <v>708</v>
      </c>
      <c r="C34" s="276"/>
    </row>
    <row r="35" spans="1:3" x14ac:dyDescent="0.2">
      <c r="B35" s="226" t="s">
        <v>54</v>
      </c>
      <c r="C35" s="226" t="s">
        <v>775</v>
      </c>
    </row>
    <row r="36" spans="1:3" x14ac:dyDescent="0.2">
      <c r="A36" s="33" t="s">
        <v>776</v>
      </c>
      <c r="B36" s="233">
        <f>'DOE25'!F200+'DOE25'!F218+'DOE25'!F236+'DOE25'!F279+'DOE25'!F298+'DOE25'!F317</f>
        <v>355047.29</v>
      </c>
      <c r="C36" s="233">
        <f>'DOE25'!G200+'DOE25'!G218+'DOE25'!G236+'DOE25'!G279+'DOE25'!G298+'DOE25'!G317</f>
        <v>101597.87999999999</v>
      </c>
    </row>
    <row r="37" spans="1:3" x14ac:dyDescent="0.2">
      <c r="A37" t="s">
        <v>778</v>
      </c>
      <c r="B37" s="238">
        <f>231464.43+6507-0.02</f>
        <v>237971.41</v>
      </c>
      <c r="C37" s="238">
        <f>18204.81+39041.56</f>
        <v>57246.369999999995</v>
      </c>
    </row>
    <row r="38" spans="1:3" x14ac:dyDescent="0.2">
      <c r="A38" t="s">
        <v>779</v>
      </c>
      <c r="B38" s="238">
        <v>10281.44</v>
      </c>
      <c r="C38" s="238">
        <f>786.53+1603.09</f>
        <v>2389.62</v>
      </c>
    </row>
    <row r="39" spans="1:3" x14ac:dyDescent="0.2">
      <c r="A39" t="s">
        <v>780</v>
      </c>
      <c r="B39" s="238">
        <f>81801.85+24992.59</f>
        <v>106794.44</v>
      </c>
      <c r="C39" s="238">
        <f>8169.77+33406.02+386.1</f>
        <v>41961.889999999992</v>
      </c>
    </row>
    <row r="40" spans="1:3" x14ac:dyDescent="0.2">
      <c r="A40" t="str">
        <f>IF(B36=B40,IF(C36=C40,"Check Total OK","Check Total Error"),"Check Total Error")</f>
        <v>Check Total OK</v>
      </c>
      <c r="B40" s="229">
        <f>SUM(B37:B39)</f>
        <v>355047.29000000004</v>
      </c>
      <c r="C40" s="229">
        <f>SUM(C37:C39)</f>
        <v>101597.87999999999</v>
      </c>
    </row>
    <row r="41" spans="1:3" x14ac:dyDescent="0.2">
      <c r="B41" s="228"/>
      <c r="C41" s="228"/>
    </row>
    <row r="42" spans="1:3" x14ac:dyDescent="0.2">
      <c r="A42" s="33" t="s">
        <v>836</v>
      </c>
      <c r="B42" s="228"/>
      <c r="C42" s="228"/>
    </row>
    <row r="43" spans="1:3" x14ac:dyDescent="0.2">
      <c r="A43" t="s">
        <v>840</v>
      </c>
      <c r="B43" s="228"/>
      <c r="C43" s="228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2" t="s">
        <v>777</v>
      </c>
    </row>
    <row r="49" spans="1:1" x14ac:dyDescent="0.2">
      <c r="A49" s="266" t="s">
        <v>843</v>
      </c>
    </row>
    <row r="50" spans="1:1" x14ac:dyDescent="0.2">
      <c r="A50" s="266" t="s">
        <v>837</v>
      </c>
    </row>
    <row r="51" spans="1:1" x14ac:dyDescent="0.2">
      <c r="A51" s="266" t="s">
        <v>844</v>
      </c>
    </row>
    <row r="52" spans="1:1" x14ac:dyDescent="0.2">
      <c r="A52" s="267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79"/>
    </row>
    <row r="2" spans="1:9" x14ac:dyDescent="0.2">
      <c r="A2" s="33" t="s">
        <v>716</v>
      </c>
      <c r="B2" s="263" t="str">
        <f>'DOE25'!A2</f>
        <v>Rochester School Department</v>
      </c>
      <c r="C2" s="179"/>
      <c r="D2" s="179" t="s">
        <v>791</v>
      </c>
      <c r="E2" s="179" t="s">
        <v>793</v>
      </c>
      <c r="F2" s="279" t="s">
        <v>820</v>
      </c>
      <c r="G2" s="280"/>
      <c r="H2" s="281"/>
      <c r="I2" s="179"/>
    </row>
    <row r="3" spans="1:9" x14ac:dyDescent="0.2">
      <c r="A3" s="179" t="s">
        <v>94</v>
      </c>
      <c r="B3" s="226" t="s">
        <v>10</v>
      </c>
      <c r="C3" s="179" t="s">
        <v>5</v>
      </c>
      <c r="D3" s="179" t="s">
        <v>792</v>
      </c>
      <c r="E3" s="179" t="s">
        <v>794</v>
      </c>
      <c r="F3" s="239" t="s">
        <v>834</v>
      </c>
      <c r="G3" s="215" t="s">
        <v>59</v>
      </c>
      <c r="H3" s="240" t="s">
        <v>797</v>
      </c>
    </row>
    <row r="4" spans="1:9" x14ac:dyDescent="0.2">
      <c r="A4" s="249" t="s">
        <v>799</v>
      </c>
      <c r="B4" s="249" t="s">
        <v>815</v>
      </c>
      <c r="C4" s="249" t="s">
        <v>790</v>
      </c>
      <c r="D4" s="249" t="s">
        <v>816</v>
      </c>
      <c r="E4" s="249" t="s">
        <v>816</v>
      </c>
      <c r="F4" s="248" t="s">
        <v>796</v>
      </c>
      <c r="G4" s="249" t="s">
        <v>810</v>
      </c>
      <c r="H4" s="250" t="s">
        <v>798</v>
      </c>
    </row>
    <row r="5" spans="1:9" x14ac:dyDescent="0.2">
      <c r="A5" s="32">
        <v>1000</v>
      </c>
      <c r="B5" t="s">
        <v>195</v>
      </c>
      <c r="C5" s="243">
        <f t="shared" ref="C5:C19" si="0">SUM(D5:H5)</f>
        <v>40040093.140000001</v>
      </c>
      <c r="D5" s="20">
        <f>SUM('DOE25'!L197:L200)+SUM('DOE25'!L215:L218)+SUM('DOE25'!L233:L236)-F5-G5</f>
        <v>39893789.43</v>
      </c>
      <c r="E5" s="241"/>
      <c r="F5" s="253">
        <f>SUM('DOE25'!J197:J200)+SUM('DOE25'!J215:J218)+SUM('DOE25'!J233:J236)</f>
        <v>47039.19</v>
      </c>
      <c r="G5" s="53">
        <f>SUM('DOE25'!K197:K200)+SUM('DOE25'!K215:K218)+SUM('DOE25'!K233:K236)</f>
        <v>99264.52</v>
      </c>
      <c r="H5" s="257"/>
    </row>
    <row r="6" spans="1:9" x14ac:dyDescent="0.2">
      <c r="A6" s="32">
        <v>2100</v>
      </c>
      <c r="B6" t="s">
        <v>800</v>
      </c>
      <c r="C6" s="243">
        <f t="shared" si="0"/>
        <v>2571199.7000000002</v>
      </c>
      <c r="D6" s="20">
        <f>'DOE25'!L202+'DOE25'!L220+'DOE25'!L238-F6-G6</f>
        <v>2568959.4400000004</v>
      </c>
      <c r="E6" s="241"/>
      <c r="F6" s="253">
        <f>'DOE25'!J202+'DOE25'!J220+'DOE25'!J238</f>
        <v>1965.26</v>
      </c>
      <c r="G6" s="53">
        <f>'DOE25'!K202+'DOE25'!K220+'DOE25'!K238</f>
        <v>275</v>
      </c>
      <c r="H6" s="257"/>
    </row>
    <row r="7" spans="1:9" x14ac:dyDescent="0.2">
      <c r="A7" s="32">
        <v>2200</v>
      </c>
      <c r="B7" t="s">
        <v>833</v>
      </c>
      <c r="C7" s="243">
        <f t="shared" si="0"/>
        <v>1934902.35</v>
      </c>
      <c r="D7" s="20">
        <f>'DOE25'!L203+'DOE25'!L221+'DOE25'!L239-F7-G7</f>
        <v>1920313.61</v>
      </c>
      <c r="E7" s="241"/>
      <c r="F7" s="253">
        <f>'DOE25'!J203+'DOE25'!J221+'DOE25'!J239</f>
        <v>13818.48</v>
      </c>
      <c r="G7" s="53">
        <f>'DOE25'!K203+'DOE25'!K221+'DOE25'!K239</f>
        <v>770.26</v>
      </c>
      <c r="H7" s="257"/>
    </row>
    <row r="8" spans="1:9" x14ac:dyDescent="0.2">
      <c r="A8" s="32">
        <v>2300</v>
      </c>
      <c r="B8" t="s">
        <v>801</v>
      </c>
      <c r="C8" s="243">
        <f t="shared" si="0"/>
        <v>1406372.9999999998</v>
      </c>
      <c r="D8" s="241"/>
      <c r="E8" s="20">
        <f>'DOE25'!L204+'DOE25'!L222+'DOE25'!L240-F8-G8-D9-D11</f>
        <v>1378261.7899999998</v>
      </c>
      <c r="F8" s="253">
        <f>'DOE25'!J204+'DOE25'!J222+'DOE25'!J240</f>
        <v>1000</v>
      </c>
      <c r="G8" s="53">
        <f>'DOE25'!K204+'DOE25'!K222+'DOE25'!K240</f>
        <v>27111.210000000003</v>
      </c>
      <c r="H8" s="257"/>
    </row>
    <row r="9" spans="1:9" x14ac:dyDescent="0.2">
      <c r="A9" s="32">
        <v>2310</v>
      </c>
      <c r="B9" t="s">
        <v>817</v>
      </c>
      <c r="C9" s="243">
        <f t="shared" si="0"/>
        <v>120111.72</v>
      </c>
      <c r="D9" s="242">
        <f>125211.72-5100</f>
        <v>120111.72</v>
      </c>
      <c r="E9" s="241"/>
      <c r="F9" s="256"/>
      <c r="G9" s="254"/>
      <c r="H9" s="257"/>
    </row>
    <row r="10" spans="1:9" x14ac:dyDescent="0.2">
      <c r="A10" s="32">
        <v>2317</v>
      </c>
      <c r="B10" t="s">
        <v>818</v>
      </c>
      <c r="C10" s="243">
        <f t="shared" si="0"/>
        <v>5100</v>
      </c>
      <c r="D10" s="241"/>
      <c r="E10" s="242">
        <v>5100</v>
      </c>
      <c r="F10" s="256"/>
      <c r="G10" s="254"/>
      <c r="H10" s="257"/>
    </row>
    <row r="11" spans="1:9" x14ac:dyDescent="0.2">
      <c r="A11" s="32">
        <v>2321</v>
      </c>
      <c r="B11" t="s">
        <v>830</v>
      </c>
      <c r="C11" s="243">
        <f t="shared" si="0"/>
        <v>494027.02</v>
      </c>
      <c r="D11" s="242">
        <v>494027.02</v>
      </c>
      <c r="E11" s="241"/>
      <c r="F11" s="256"/>
      <c r="G11" s="254"/>
      <c r="H11" s="257"/>
    </row>
    <row r="12" spans="1:9" x14ac:dyDescent="0.2">
      <c r="A12" s="32">
        <v>2400</v>
      </c>
      <c r="B12" t="s">
        <v>714</v>
      </c>
      <c r="C12" s="243">
        <f t="shared" si="0"/>
        <v>3303442.84</v>
      </c>
      <c r="D12" s="20">
        <f>'DOE25'!L205+'DOE25'!L223+'DOE25'!L241-F12-G12</f>
        <v>3294522.01</v>
      </c>
      <c r="E12" s="241"/>
      <c r="F12" s="253">
        <f>'DOE25'!J205+'DOE25'!J223+'DOE25'!J241</f>
        <v>819.84</v>
      </c>
      <c r="G12" s="53">
        <f>'DOE25'!K205+'DOE25'!K223+'DOE25'!K241</f>
        <v>8100.99</v>
      </c>
      <c r="H12" s="257"/>
    </row>
    <row r="13" spans="1:9" x14ac:dyDescent="0.2">
      <c r="A13" s="32">
        <v>2500</v>
      </c>
      <c r="B13" t="s">
        <v>802</v>
      </c>
      <c r="C13" s="243">
        <f t="shared" si="0"/>
        <v>532572.62000000011</v>
      </c>
      <c r="D13" s="241"/>
      <c r="E13" s="20">
        <f>'DOE25'!L206+'DOE25'!L224+'DOE25'!L242-F13-G13</f>
        <v>531794.1100000001</v>
      </c>
      <c r="F13" s="253">
        <f>'DOE25'!J206+'DOE25'!J224+'DOE25'!J242</f>
        <v>0</v>
      </c>
      <c r="G13" s="53">
        <f>'DOE25'!K206+'DOE25'!K224+'DOE25'!K242</f>
        <v>778.51</v>
      </c>
      <c r="H13" s="257"/>
    </row>
    <row r="14" spans="1:9" x14ac:dyDescent="0.2">
      <c r="A14" s="32">
        <v>2600</v>
      </c>
      <c r="B14" t="s">
        <v>831</v>
      </c>
      <c r="C14" s="243">
        <f t="shared" si="0"/>
        <v>4406236.91</v>
      </c>
      <c r="D14" s="20">
        <f>'DOE25'!L207+'DOE25'!L225+'DOE25'!L243-F14-G14</f>
        <v>4364961.4800000004</v>
      </c>
      <c r="E14" s="241"/>
      <c r="F14" s="253">
        <f>'DOE25'!J207+'DOE25'!J225+'DOE25'!J243</f>
        <v>39840.43</v>
      </c>
      <c r="G14" s="53">
        <f>'DOE25'!K207+'DOE25'!K225+'DOE25'!K243</f>
        <v>1435</v>
      </c>
      <c r="H14" s="257"/>
    </row>
    <row r="15" spans="1:9" x14ac:dyDescent="0.2">
      <c r="A15" s="32">
        <v>2700</v>
      </c>
      <c r="B15" t="s">
        <v>803</v>
      </c>
      <c r="C15" s="243">
        <f t="shared" si="0"/>
        <v>2275813.84</v>
      </c>
      <c r="D15" s="20">
        <f>'DOE25'!L208+'DOE25'!L226+'DOE25'!L244-F15-G15</f>
        <v>2275813.84</v>
      </c>
      <c r="E15" s="241"/>
      <c r="F15" s="253">
        <f>'DOE25'!J208+'DOE25'!J226+'DOE25'!J244</f>
        <v>0</v>
      </c>
      <c r="G15" s="53">
        <f>'DOE25'!K208+'DOE25'!K226+'DOE25'!K244</f>
        <v>0</v>
      </c>
      <c r="H15" s="257"/>
    </row>
    <row r="16" spans="1:9" x14ac:dyDescent="0.2">
      <c r="A16" s="32">
        <v>2800</v>
      </c>
      <c r="B16" t="s">
        <v>804</v>
      </c>
      <c r="C16" s="243">
        <f t="shared" si="0"/>
        <v>864</v>
      </c>
      <c r="D16" s="241"/>
      <c r="E16" s="20">
        <f>'DOE25'!L209+'DOE25'!L227+'DOE25'!L245-F16-G16</f>
        <v>864</v>
      </c>
      <c r="F16" s="253">
        <f>'DOE25'!J209+'DOE25'!J227+'DOE25'!J245</f>
        <v>0</v>
      </c>
      <c r="G16" s="53">
        <f>'DOE25'!K209+'DOE25'!K227+'DOE25'!K245</f>
        <v>0</v>
      </c>
      <c r="H16" s="257"/>
    </row>
    <row r="17" spans="1:8" x14ac:dyDescent="0.2">
      <c r="A17" s="32">
        <v>1600</v>
      </c>
      <c r="B17" t="s">
        <v>805</v>
      </c>
      <c r="C17" s="243">
        <f t="shared" si="0"/>
        <v>464.43</v>
      </c>
      <c r="D17" s="20">
        <f>'DOE25'!L251-F17-G17</f>
        <v>464.43</v>
      </c>
      <c r="E17" s="241"/>
      <c r="F17" s="253">
        <f>'DOE25'!J251</f>
        <v>0</v>
      </c>
      <c r="G17" s="53">
        <f>'DOE25'!K251</f>
        <v>0</v>
      </c>
      <c r="H17" s="257"/>
    </row>
    <row r="18" spans="1:8" x14ac:dyDescent="0.2">
      <c r="A18" s="32">
        <v>1700</v>
      </c>
      <c r="B18" t="s">
        <v>806</v>
      </c>
      <c r="C18" s="243">
        <f t="shared" si="0"/>
        <v>0</v>
      </c>
      <c r="D18" s="20">
        <f>'DOE25'!L252-F18-G18</f>
        <v>0</v>
      </c>
      <c r="E18" s="241"/>
      <c r="F18" s="253">
        <f>'DOE25'!J252</f>
        <v>0</v>
      </c>
      <c r="G18" s="53">
        <f>'DOE25'!K252</f>
        <v>0</v>
      </c>
      <c r="H18" s="257"/>
    </row>
    <row r="19" spans="1:8" x14ac:dyDescent="0.2">
      <c r="A19" s="32">
        <v>1800</v>
      </c>
      <c r="B19" t="s">
        <v>807</v>
      </c>
      <c r="C19" s="243">
        <f t="shared" si="0"/>
        <v>0</v>
      </c>
      <c r="D19" s="20">
        <f>'DOE25'!L253-F19-G19</f>
        <v>0</v>
      </c>
      <c r="E19" s="241"/>
      <c r="F19" s="253">
        <f>'DOE25'!J253</f>
        <v>0</v>
      </c>
      <c r="G19" s="53">
        <f>'DOE25'!K253</f>
        <v>0</v>
      </c>
      <c r="H19" s="257"/>
    </row>
    <row r="20" spans="1:8" x14ac:dyDescent="0.2">
      <c r="F20" s="258"/>
      <c r="G20" s="52"/>
      <c r="H20" s="259"/>
    </row>
    <row r="21" spans="1:8" x14ac:dyDescent="0.2">
      <c r="B21" s="33" t="s">
        <v>795</v>
      </c>
      <c r="F21" s="258"/>
      <c r="G21" s="52"/>
      <c r="H21" s="259"/>
    </row>
    <row r="22" spans="1:8" x14ac:dyDescent="0.2">
      <c r="A22" s="32">
        <v>4000</v>
      </c>
      <c r="B22" t="s">
        <v>832</v>
      </c>
      <c r="C22" s="243">
        <f>SUM(D22:H22)</f>
        <v>0</v>
      </c>
      <c r="D22" s="241"/>
      <c r="E22" s="241"/>
      <c r="F22" s="253">
        <f>'DOE25'!L255+'DOE25'!L336</f>
        <v>0</v>
      </c>
      <c r="G22" s="254"/>
      <c r="H22" s="257"/>
    </row>
    <row r="23" spans="1:8" x14ac:dyDescent="0.2">
      <c r="A23" s="32"/>
      <c r="F23" s="258"/>
      <c r="G23" s="52"/>
      <c r="H23" s="259"/>
    </row>
    <row r="24" spans="1:8" x14ac:dyDescent="0.2">
      <c r="A24" s="32"/>
      <c r="B24" s="33" t="s">
        <v>463</v>
      </c>
      <c r="F24" s="258"/>
      <c r="G24" s="52"/>
      <c r="H24" s="259"/>
    </row>
    <row r="25" spans="1:8" x14ac:dyDescent="0.2">
      <c r="A25" s="32" t="s">
        <v>808</v>
      </c>
      <c r="B25" t="s">
        <v>809</v>
      </c>
      <c r="C25" s="243">
        <f>SUM(D25:H25)</f>
        <v>2326027.63</v>
      </c>
      <c r="D25" s="241"/>
      <c r="E25" s="241"/>
      <c r="F25" s="256"/>
      <c r="G25" s="254"/>
      <c r="H25" s="255">
        <f>'DOE25'!L260+'DOE25'!L261+'DOE25'!L341+'DOE25'!L342</f>
        <v>2326027.63</v>
      </c>
    </row>
    <row r="26" spans="1:8" x14ac:dyDescent="0.2">
      <c r="A26" s="32"/>
      <c r="F26" s="258"/>
      <c r="G26" s="52"/>
      <c r="H26" s="259"/>
    </row>
    <row r="27" spans="1:8" x14ac:dyDescent="0.2">
      <c r="A27" s="32"/>
      <c r="B27" s="33" t="s">
        <v>811</v>
      </c>
      <c r="F27" s="258"/>
      <c r="G27" s="52"/>
      <c r="H27" s="259"/>
    </row>
    <row r="28" spans="1:8" x14ac:dyDescent="0.2">
      <c r="A28" s="32">
        <v>3100</v>
      </c>
      <c r="B28" t="s">
        <v>824</v>
      </c>
      <c r="F28" s="258"/>
      <c r="G28" s="52"/>
      <c r="H28" s="259"/>
    </row>
    <row r="29" spans="1:8" x14ac:dyDescent="0.2">
      <c r="A29" s="32"/>
      <c r="B29" t="s">
        <v>812</v>
      </c>
      <c r="C29" s="243">
        <f>SUM(D29:H29)</f>
        <v>1220037.7799999998</v>
      </c>
      <c r="D29" s="20">
        <f>'DOE25'!L358+'DOE25'!L359+'DOE25'!L360-'DOE25'!I367-F29-G29</f>
        <v>1172930.9799999997</v>
      </c>
      <c r="E29" s="241"/>
      <c r="F29" s="253">
        <f>'DOE25'!J358+'DOE25'!J359+'DOE25'!J360</f>
        <v>45956.7</v>
      </c>
      <c r="G29" s="53">
        <f>'DOE25'!K358+'DOE25'!K359+'DOE25'!K360</f>
        <v>1150.0999999999999</v>
      </c>
      <c r="H29" s="257"/>
    </row>
    <row r="30" spans="1:8" x14ac:dyDescent="0.2">
      <c r="A30" s="32"/>
      <c r="D30" s="20"/>
      <c r="E30" s="241"/>
      <c r="F30" s="253"/>
      <c r="G30" s="53"/>
      <c r="H30" s="257"/>
    </row>
    <row r="31" spans="1:8" x14ac:dyDescent="0.2">
      <c r="A31" s="32" t="s">
        <v>826</v>
      </c>
      <c r="B31" t="s">
        <v>825</v>
      </c>
      <c r="C31" s="243">
        <f>SUM(D31:H31)</f>
        <v>3637421.7299999995</v>
      </c>
      <c r="D31" s="20">
        <f>'DOE25'!L290+'DOE25'!L309+'DOE25'!L328+'DOE25'!L333+'DOE25'!L334+'DOE25'!L335-F31-G31</f>
        <v>3442154.8699999996</v>
      </c>
      <c r="E31" s="241"/>
      <c r="F31" s="253">
        <f>'DOE25'!J290+'DOE25'!J309+'DOE25'!J328+'DOE25'!J333+'DOE25'!J334+'DOE25'!J335</f>
        <v>99037.28</v>
      </c>
      <c r="G31" s="53">
        <f>'DOE25'!K290+'DOE25'!K309+'DOE25'!K328+'DOE25'!K333+'DOE25'!K334+'DOE25'!K335</f>
        <v>96229.58</v>
      </c>
      <c r="H31" s="257"/>
    </row>
    <row r="32" spans="1:8" ht="12" thickBot="1" x14ac:dyDescent="0.25">
      <c r="F32" s="260"/>
      <c r="G32" s="251"/>
      <c r="H32" s="261"/>
    </row>
    <row r="33" spans="2:8" ht="12" thickTop="1" x14ac:dyDescent="0.2">
      <c r="B33" t="s">
        <v>813</v>
      </c>
      <c r="D33" s="244">
        <f>SUM(D5:D31)</f>
        <v>59548048.829999991</v>
      </c>
      <c r="E33" s="244">
        <f>SUM(E5:E31)</f>
        <v>1916019.9</v>
      </c>
      <c r="F33" s="244">
        <f>SUM(F5:F31)</f>
        <v>249477.18000000002</v>
      </c>
      <c r="G33" s="244">
        <f>SUM(G5:G31)</f>
        <v>235115.17000000004</v>
      </c>
      <c r="H33" s="244">
        <f>SUM(H5:H31)</f>
        <v>2326027.63</v>
      </c>
    </row>
    <row r="35" spans="2:8" ht="12" thickBot="1" x14ac:dyDescent="0.25">
      <c r="B35" s="251" t="s">
        <v>846</v>
      </c>
      <c r="D35" s="252">
        <f>E33</f>
        <v>1916019.9</v>
      </c>
      <c r="E35" s="247"/>
    </row>
    <row r="36" spans="2:8" ht="12" thickTop="1" x14ac:dyDescent="0.2">
      <c r="B36" t="s">
        <v>814</v>
      </c>
      <c r="D36" s="20">
        <f>D33</f>
        <v>59548048.829999991</v>
      </c>
    </row>
    <row r="38" spans="2:8" x14ac:dyDescent="0.2">
      <c r="B38" s="185" t="s">
        <v>907</v>
      </c>
      <c r="C38" s="264"/>
      <c r="D38" s="265"/>
    </row>
    <row r="39" spans="2:8" x14ac:dyDescent="0.2">
      <c r="B39" t="s">
        <v>823</v>
      </c>
      <c r="D39" s="179" t="str">
        <f>IF(E10&gt;0,"Y","N")</f>
        <v>Y</v>
      </c>
    </row>
    <row r="41" spans="2:8" x14ac:dyDescent="0.2">
      <c r="B41" s="262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Rochester School Department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0</v>
      </c>
      <c r="E8" s="95">
        <f>'DOE25'!H9</f>
        <v>0</v>
      </c>
      <c r="F8" s="95">
        <f>'DOE25'!I9</f>
        <v>16981607.859999999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74298.73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163679.81</v>
      </c>
      <c r="E13" s="95">
        <f>'DOE25'!H14</f>
        <v>671436.97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125260.37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288940.18</v>
      </c>
      <c r="E18" s="41">
        <f>SUM(E8:E17)</f>
        <v>745735.7</v>
      </c>
      <c r="F18" s="41">
        <f>SUM(F8:F17)</f>
        <v>16981607.859999999</v>
      </c>
      <c r="G18" s="41">
        <f>SUM(G8:G17)</f>
        <v>0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654146.89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86371.340000000011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78342.89</v>
      </c>
      <c r="E23" s="95">
        <f>'DOE25'!H24</f>
        <v>19039.59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72549.22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164714.23000000001</v>
      </c>
      <c r="E31" s="41">
        <f>SUM(E21:E30)</f>
        <v>745735.7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30760.87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16981607.859999999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93465.08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0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0</v>
      </c>
      <c r="D50" s="41">
        <f>SUM(D34:D49)</f>
        <v>124225.95</v>
      </c>
      <c r="E50" s="41">
        <f>SUM(E34:E49)</f>
        <v>0</v>
      </c>
      <c r="F50" s="41">
        <f>SUM(F34:F49)</f>
        <v>16981607.859999999</v>
      </c>
      <c r="G50" s="41">
        <f>SUM(G34:G49)</f>
        <v>0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0</v>
      </c>
      <c r="D51" s="41">
        <f>D50+D31</f>
        <v>288940.18</v>
      </c>
      <c r="E51" s="41">
        <f>E50+E31</f>
        <v>745735.7</v>
      </c>
      <c r="F51" s="41">
        <f>F50+F31</f>
        <v>16981607.859999999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27111215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2053624.94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715676.13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112617.02</v>
      </c>
      <c r="D61" s="95">
        <f>SUM('DOE25'!G98:G110)</f>
        <v>0</v>
      </c>
      <c r="E61" s="95">
        <f>SUM('DOE25'!H98:H110)</f>
        <v>0</v>
      </c>
      <c r="F61" s="95">
        <f>SUM('DOE25'!I98:I110)</f>
        <v>16981607.859999999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2166241.96</v>
      </c>
      <c r="D62" s="130">
        <f>SUM(D57:D61)</f>
        <v>715676.13</v>
      </c>
      <c r="E62" s="130">
        <f>SUM(E57:E61)</f>
        <v>0</v>
      </c>
      <c r="F62" s="130">
        <f>SUM(F57:F61)</f>
        <v>16981607.859999999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29277456.960000001</v>
      </c>
      <c r="D63" s="22">
        <f>D56+D62</f>
        <v>715676.13</v>
      </c>
      <c r="E63" s="22">
        <f>E56+E62</f>
        <v>0</v>
      </c>
      <c r="F63" s="22">
        <f>F56+F62</f>
        <v>16981607.859999999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22751322.289999999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4825327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728.03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27577377.32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126132.5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448177.01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29663.88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99560.49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603973.39</v>
      </c>
      <c r="D78" s="130">
        <f>SUM(D72:D77)</f>
        <v>99560.49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28181350.710000001</v>
      </c>
      <c r="D81" s="130">
        <f>SUM(D79:D80)+D78+D70</f>
        <v>99560.49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66151.600000000006</v>
      </c>
      <c r="D85" s="95">
        <f>'DOE25'!G147</f>
        <v>6169.7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1256844.1100000001</v>
      </c>
      <c r="D88" s="95">
        <f>SUM('DOE25'!G153:G161)</f>
        <v>994456.31</v>
      </c>
      <c r="E88" s="95">
        <f>SUM('DOE25'!H153:H161)</f>
        <v>3639434.9999999995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90891.04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1413886.7500000002</v>
      </c>
      <c r="D91" s="131">
        <f>SUM(D85:D90)</f>
        <v>1000626.01</v>
      </c>
      <c r="E91" s="131">
        <f>SUM(E85:E90)</f>
        <v>3639434.9999999995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419675.47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419675.47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59292369.890000001</v>
      </c>
      <c r="D104" s="86">
        <f>D63+D81+D91+D103</f>
        <v>1815862.63</v>
      </c>
      <c r="E104" s="86">
        <f>E63+E81+E91+E103</f>
        <v>3639434.9999999995</v>
      </c>
      <c r="F104" s="86">
        <f>F63+F81+F91+F103</f>
        <v>16981607.859999999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22648462.979999997</v>
      </c>
      <c r="D109" s="24" t="s">
        <v>288</v>
      </c>
      <c r="E109" s="95">
        <f>('DOE25'!L276)+('DOE25'!L295)+('DOE25'!L314)</f>
        <v>1094624.1400000001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15114013.939999999</v>
      </c>
      <c r="D110" s="24" t="s">
        <v>288</v>
      </c>
      <c r="E110" s="95">
        <f>('DOE25'!L277)+('DOE25'!L296)+('DOE25'!L315)</f>
        <v>1199486.81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1699016.6500000001</v>
      </c>
      <c r="D111" s="24" t="s">
        <v>288</v>
      </c>
      <c r="E111" s="95">
        <f>('DOE25'!L278)+('DOE25'!L297)+('DOE25'!L316)</f>
        <v>93897.38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578599.57000000007</v>
      </c>
      <c r="D112" s="24" t="s">
        <v>288</v>
      </c>
      <c r="E112" s="95">
        <f>+('DOE25'!L279)+('DOE25'!L298)+('DOE25'!L317)</f>
        <v>25730.219999999998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2013.27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464.43</v>
      </c>
      <c r="D114" s="24" t="s">
        <v>288</v>
      </c>
      <c r="E114" s="95">
        <f>+ SUM('DOE25'!L333:L335)</f>
        <v>33726.68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40040557.569999993</v>
      </c>
      <c r="D115" s="86">
        <f>SUM(D109:D114)</f>
        <v>0</v>
      </c>
      <c r="E115" s="86">
        <f>SUM(E109:E114)</f>
        <v>2449478.5000000005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2571199.7000000002</v>
      </c>
      <c r="D118" s="24" t="s">
        <v>288</v>
      </c>
      <c r="E118" s="95">
        <f>+('DOE25'!L281)+('DOE25'!L300)+('DOE25'!L319)</f>
        <v>70670.509999999995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1934902.35</v>
      </c>
      <c r="D119" s="24" t="s">
        <v>288</v>
      </c>
      <c r="E119" s="95">
        <f>+('DOE25'!L282)+('DOE25'!L301)+('DOE25'!L320)</f>
        <v>345960.41000000003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2020511.7399999998</v>
      </c>
      <c r="D120" s="24" t="s">
        <v>288</v>
      </c>
      <c r="E120" s="95">
        <f>+('DOE25'!L283)+('DOE25'!L302)+('DOE25'!L321)</f>
        <v>599427.14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3303442.84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532572.62000000011</v>
      </c>
      <c r="D122" s="24" t="s">
        <v>288</v>
      </c>
      <c r="E122" s="95">
        <f>+('DOE25'!L285)+('DOE25'!L304)+('DOE25'!L323)</f>
        <v>89740.94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4406236.91</v>
      </c>
      <c r="D123" s="24" t="s">
        <v>288</v>
      </c>
      <c r="E123" s="95">
        <f>+('DOE25'!L286)+('DOE25'!L305)+('DOE25'!L324)</f>
        <v>23505.989999999998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2275813.84</v>
      </c>
      <c r="D124" s="24" t="s">
        <v>288</v>
      </c>
      <c r="E124" s="95">
        <f>+('DOE25'!L287)+('DOE25'!L306)+('DOE25'!L325)</f>
        <v>45000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864</v>
      </c>
      <c r="D125" s="24" t="s">
        <v>288</v>
      </c>
      <c r="E125" s="95">
        <f>+('DOE25'!L288)+('DOE25'!L307)+('DOE25'!L326)</f>
        <v>15651.51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1899047.19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17045544</v>
      </c>
      <c r="D128" s="86">
        <f>SUM(D118:D127)</f>
        <v>1899047.19</v>
      </c>
      <c r="E128" s="86">
        <f>SUM(E118:E127)</f>
        <v>1189956.5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2253831.62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1488997.49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837030.14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2326027.63</v>
      </c>
      <c r="D144" s="141">
        <f>SUM(D130:D143)</f>
        <v>0</v>
      </c>
      <c r="E144" s="141">
        <f>SUM(E130:E143)</f>
        <v>0</v>
      </c>
      <c r="F144" s="141">
        <f>SUM(F130:F143)</f>
        <v>2253831.62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59412129.199999996</v>
      </c>
      <c r="D145" s="86">
        <f>(D115+D128+D144)</f>
        <v>1899047.19</v>
      </c>
      <c r="E145" s="86">
        <f>(E115+E128+E144)</f>
        <v>3639435.0000000005</v>
      </c>
      <c r="F145" s="86">
        <f>(F115+F128+F144)</f>
        <v>2253831.62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 t="str">
        <f>'DOE25'!F490</f>
        <v>VARIES</v>
      </c>
      <c r="C151" s="153">
        <f>'DOE25'!G490</f>
        <v>20</v>
      </c>
      <c r="D151" s="153">
        <f>'DOE25'!H490</f>
        <v>20</v>
      </c>
      <c r="E151" s="153">
        <f>'DOE25'!I490</f>
        <v>20</v>
      </c>
      <c r="F151" s="153" t="str">
        <f>'DOE25'!J490</f>
        <v>VARIES</v>
      </c>
      <c r="G151" s="24" t="s">
        <v>288</v>
      </c>
    </row>
    <row r="152" spans="1:9" x14ac:dyDescent="0.2">
      <c r="A152" s="136" t="s">
        <v>28</v>
      </c>
      <c r="B152" s="152" t="str">
        <f>'DOE25'!F491</f>
        <v>VARIES</v>
      </c>
      <c r="C152" s="152">
        <f>'DOE25'!G491</f>
        <v>37073</v>
      </c>
      <c r="D152" s="152">
        <f>'DOE25'!H491</f>
        <v>37803</v>
      </c>
      <c r="E152" s="152">
        <f>'DOE25'!I491</f>
        <v>38534</v>
      </c>
      <c r="F152" s="152" t="str">
        <f>'DOE25'!J491</f>
        <v>VARIES</v>
      </c>
      <c r="G152" s="24" t="s">
        <v>288</v>
      </c>
    </row>
    <row r="153" spans="1:9" x14ac:dyDescent="0.2">
      <c r="A153" s="136" t="s">
        <v>29</v>
      </c>
      <c r="B153" s="152" t="str">
        <f>'DOE25'!F492</f>
        <v>PRIOR T0 2020</v>
      </c>
      <c r="C153" s="152">
        <f>'DOE25'!G492</f>
        <v>44378</v>
      </c>
      <c r="D153" s="152">
        <f>'DOE25'!H492</f>
        <v>45108</v>
      </c>
      <c r="E153" s="152">
        <f>'DOE25'!I492</f>
        <v>45839</v>
      </c>
      <c r="F153" s="152" t="str">
        <f>'DOE25'!J492</f>
        <v>AFTER TO 2027</v>
      </c>
      <c r="G153" s="24" t="s">
        <v>288</v>
      </c>
    </row>
    <row r="154" spans="1:9" x14ac:dyDescent="0.2">
      <c r="A154" s="136" t="s">
        <v>30</v>
      </c>
      <c r="B154" s="137" t="str">
        <f>'DOE25'!F493</f>
        <v>VARIES</v>
      </c>
      <c r="C154" s="137">
        <f>'DOE25'!G493</f>
        <v>4704717.3499999996</v>
      </c>
      <c r="D154" s="137">
        <f>'DOE25'!H493</f>
        <v>3237000</v>
      </c>
      <c r="E154" s="137">
        <f>'DOE25'!I493</f>
        <v>1378525</v>
      </c>
      <c r="F154" s="137">
        <f>'DOE25'!J493</f>
        <v>1992991.08</v>
      </c>
      <c r="G154" s="24" t="s">
        <v>288</v>
      </c>
    </row>
    <row r="155" spans="1:9" x14ac:dyDescent="0.2">
      <c r="A155" s="136" t="s">
        <v>31</v>
      </c>
      <c r="B155" s="137" t="str">
        <f>'DOE25'!F494</f>
        <v>VARIES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429018.15</v>
      </c>
      <c r="C156" s="137">
        <f>'DOE25'!G495</f>
        <v>123424</v>
      </c>
      <c r="D156" s="137">
        <f>'DOE25'!H495</f>
        <v>1027340.8</v>
      </c>
      <c r="E156" s="137">
        <f>'DOE25'!I495</f>
        <v>1107000</v>
      </c>
      <c r="F156" s="137">
        <f>'DOE25'!J495</f>
        <v>15714365.07</v>
      </c>
      <c r="G156" s="138">
        <f>SUM(B156:F156)</f>
        <v>18401148.02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2135354.1</v>
      </c>
      <c r="G157" s="138">
        <f t="shared" ref="G157:G164" si="0">SUM(B157:F157)</f>
        <v>2135354.1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199600.54</v>
      </c>
      <c r="C159" s="137">
        <f>'DOE25'!G498</f>
        <v>92568</v>
      </c>
      <c r="D159" s="137">
        <f>'DOE25'!H498</f>
        <v>820151.9</v>
      </c>
      <c r="E159" s="137">
        <f>'DOE25'!I498</f>
        <v>947000</v>
      </c>
      <c r="F159" s="137">
        <f>'DOE25'!J498</f>
        <v>16988184.18</v>
      </c>
      <c r="G159" s="138">
        <f t="shared" si="0"/>
        <v>19047504.620000001</v>
      </c>
    </row>
    <row r="160" spans="1:9" x14ac:dyDescent="0.2">
      <c r="A160" s="22" t="s">
        <v>36</v>
      </c>
      <c r="B160" s="137">
        <f>'DOE25'!F499</f>
        <v>7537.2</v>
      </c>
      <c r="C160" s="137">
        <f>'DOE25'!G499</f>
        <v>4322.58</v>
      </c>
      <c r="D160" s="137">
        <f>'DOE25'!H499</f>
        <v>32623.54</v>
      </c>
      <c r="E160" s="137">
        <f>'DOE25'!I499</f>
        <v>129999.5</v>
      </c>
      <c r="F160" s="137">
        <f>'DOE25'!J499</f>
        <v>4930547.93</v>
      </c>
      <c r="G160" s="138">
        <f t="shared" si="0"/>
        <v>5105030.75</v>
      </c>
    </row>
    <row r="161" spans="1:7" x14ac:dyDescent="0.2">
      <c r="A161" s="22" t="s">
        <v>37</v>
      </c>
      <c r="B161" s="137">
        <f>'DOE25'!F500</f>
        <v>207137.74000000002</v>
      </c>
      <c r="C161" s="137">
        <f>'DOE25'!G500</f>
        <v>96890.58</v>
      </c>
      <c r="D161" s="137">
        <f>'DOE25'!H500</f>
        <v>852775.44000000006</v>
      </c>
      <c r="E161" s="137">
        <f>'DOE25'!I500</f>
        <v>1076999.5</v>
      </c>
      <c r="F161" s="137">
        <f>'DOE25'!J500</f>
        <v>21918732.109999999</v>
      </c>
      <c r="G161" s="138">
        <f t="shared" si="0"/>
        <v>24152535.369999997</v>
      </c>
    </row>
    <row r="162" spans="1:7" x14ac:dyDescent="0.2">
      <c r="A162" s="22" t="s">
        <v>38</v>
      </c>
      <c r="B162" s="137">
        <f>'DOE25'!F501</f>
        <v>199600.54</v>
      </c>
      <c r="C162" s="137">
        <f>'DOE25'!G501</f>
        <v>30856</v>
      </c>
      <c r="D162" s="137">
        <f>'DOE25'!H501</f>
        <v>206026.17</v>
      </c>
      <c r="E162" s="137">
        <f>'DOE25'!I501</f>
        <v>160000</v>
      </c>
      <c r="F162" s="137">
        <f>'DOE25'!J501</f>
        <v>995437.09</v>
      </c>
      <c r="G162" s="138">
        <f t="shared" si="0"/>
        <v>1591919.7999999998</v>
      </c>
    </row>
    <row r="163" spans="1:7" x14ac:dyDescent="0.2">
      <c r="A163" s="22" t="s">
        <v>39</v>
      </c>
      <c r="B163" s="137">
        <f>'DOE25'!F502</f>
        <v>7537.2</v>
      </c>
      <c r="C163" s="137">
        <f>'DOE25'!G502</f>
        <v>2892.76</v>
      </c>
      <c r="D163" s="137">
        <f>'DOE25'!H502</f>
        <v>13948.49</v>
      </c>
      <c r="E163" s="137">
        <f>'DOE25'!I502</f>
        <v>40029</v>
      </c>
      <c r="F163" s="137">
        <f>'DOE25'!J502</f>
        <v>585264.84</v>
      </c>
      <c r="G163" s="138">
        <f t="shared" si="0"/>
        <v>649672.28999999992</v>
      </c>
    </row>
    <row r="164" spans="1:7" x14ac:dyDescent="0.2">
      <c r="A164" s="22" t="s">
        <v>246</v>
      </c>
      <c r="B164" s="137">
        <f>'DOE25'!F503</f>
        <v>207137.74000000002</v>
      </c>
      <c r="C164" s="137">
        <f>'DOE25'!G503</f>
        <v>33748.76</v>
      </c>
      <c r="D164" s="137">
        <f>'DOE25'!H503</f>
        <v>219974.66</v>
      </c>
      <c r="E164" s="137">
        <f>'DOE25'!I503</f>
        <v>200029</v>
      </c>
      <c r="F164" s="137">
        <f>'DOE25'!J503</f>
        <v>1580701.93</v>
      </c>
      <c r="G164" s="138">
        <f t="shared" si="0"/>
        <v>2241592.09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5" t="s">
        <v>716</v>
      </c>
      <c r="B2" s="184" t="str">
        <f>'DOE25'!A2</f>
        <v>Rochester School Department</v>
      </c>
    </row>
    <row r="3" spans="1:4" x14ac:dyDescent="0.2">
      <c r="B3" s="186" t="s">
        <v>908</v>
      </c>
    </row>
    <row r="4" spans="1:4" x14ac:dyDescent="0.2">
      <c r="B4" t="s">
        <v>61</v>
      </c>
      <c r="C4" s="177">
        <f>IF('DOE25'!F665+'DOE25'!F670=0,0,ROUND('DOE25'!F672,0))</f>
        <v>14469</v>
      </c>
    </row>
    <row r="5" spans="1:4" x14ac:dyDescent="0.2">
      <c r="B5" t="s">
        <v>703</v>
      </c>
      <c r="C5" s="177">
        <f>IF('DOE25'!G665+'DOE25'!G670=0,0,ROUND('DOE25'!G672,0))</f>
        <v>12775</v>
      </c>
    </row>
    <row r="6" spans="1:4" x14ac:dyDescent="0.2">
      <c r="B6" t="s">
        <v>62</v>
      </c>
      <c r="C6" s="177">
        <f>IF('DOE25'!H665+'DOE25'!H670=0,0,ROUND('DOE25'!H672,0))</f>
        <v>12467</v>
      </c>
    </row>
    <row r="7" spans="1:4" x14ac:dyDescent="0.2">
      <c r="B7" t="s">
        <v>704</v>
      </c>
      <c r="C7" s="177">
        <f>IF('DOE25'!I665+'DOE25'!I670=0,0,ROUND('DOE25'!I672,0))</f>
        <v>13441</v>
      </c>
    </row>
    <row r="9" spans="1:4" x14ac:dyDescent="0.2">
      <c r="A9" s="185" t="s">
        <v>94</v>
      </c>
      <c r="B9" s="186" t="s">
        <v>909</v>
      </c>
      <c r="C9" s="179" t="s">
        <v>723</v>
      </c>
      <c r="D9" s="179" t="s">
        <v>724</v>
      </c>
    </row>
    <row r="10" spans="1:4" x14ac:dyDescent="0.2">
      <c r="A10">
        <v>1100</v>
      </c>
      <c r="B10" t="s">
        <v>705</v>
      </c>
      <c r="C10" s="177">
        <f>ROUND('DOE25'!L197+'DOE25'!L215+'DOE25'!L233+'DOE25'!L276+'DOE25'!L295+'DOE25'!L314,0)</f>
        <v>23743087</v>
      </c>
      <c r="D10" s="180">
        <f>ROUND((C10/$C$28)*100,1)</f>
        <v>37.799999999999997</v>
      </c>
    </row>
    <row r="11" spans="1:4" x14ac:dyDescent="0.2">
      <c r="A11">
        <v>1200</v>
      </c>
      <c r="B11" t="s">
        <v>706</v>
      </c>
      <c r="C11" s="177">
        <f>ROUND('DOE25'!L198+'DOE25'!L216+'DOE25'!L234+'DOE25'!L277+'DOE25'!L296+'DOE25'!L315,0)</f>
        <v>16313501</v>
      </c>
      <c r="D11" s="180">
        <f>ROUND((C11/$C$28)*100,1)</f>
        <v>26</v>
      </c>
    </row>
    <row r="12" spans="1:4" x14ac:dyDescent="0.2">
      <c r="A12">
        <v>1300</v>
      </c>
      <c r="B12" t="s">
        <v>707</v>
      </c>
      <c r="C12" s="177">
        <f>ROUND('DOE25'!L199+'DOE25'!L217+'DOE25'!L235+'DOE25'!L278+'DOE25'!L297+'DOE25'!L316,0)</f>
        <v>1792914</v>
      </c>
      <c r="D12" s="180">
        <f>ROUND((C12/$C$28)*100,1)</f>
        <v>2.9</v>
      </c>
    </row>
    <row r="13" spans="1:4" x14ac:dyDescent="0.2">
      <c r="A13">
        <v>1400</v>
      </c>
      <c r="B13" t="s">
        <v>708</v>
      </c>
      <c r="C13" s="177">
        <f>ROUND('DOE25'!L200+'DOE25'!L218+'DOE25'!L236+'DOE25'!L279+'DOE25'!L298+'DOE25'!L317,0)</f>
        <v>604330</v>
      </c>
      <c r="D13" s="180">
        <f>ROUND((C13/$C$28)*100,1)</f>
        <v>1</v>
      </c>
    </row>
    <row r="14" spans="1:4" x14ac:dyDescent="0.2">
      <c r="D14" s="180"/>
    </row>
    <row r="15" spans="1:4" x14ac:dyDescent="0.2">
      <c r="A15">
        <v>2100</v>
      </c>
      <c r="B15" t="s">
        <v>709</v>
      </c>
      <c r="C15" s="177">
        <f>ROUND('DOE25'!L202+'DOE25'!L220+'DOE25'!L238+'DOE25'!L281+'DOE25'!L300+'DOE25'!L319,0)</f>
        <v>2641870</v>
      </c>
      <c r="D15" s="180">
        <f t="shared" ref="D15:D27" si="0">ROUND((C15/$C$28)*100,1)</f>
        <v>4.2</v>
      </c>
    </row>
    <row r="16" spans="1:4" x14ac:dyDescent="0.2">
      <c r="A16">
        <v>2200</v>
      </c>
      <c r="B16" t="s">
        <v>710</v>
      </c>
      <c r="C16" s="177">
        <f>ROUND('DOE25'!L203+'DOE25'!L221+'DOE25'!L239+'DOE25'!L282+'DOE25'!L301+'DOE25'!L320,0)</f>
        <v>2280863</v>
      </c>
      <c r="D16" s="180">
        <f t="shared" si="0"/>
        <v>3.6</v>
      </c>
    </row>
    <row r="17" spans="1:4" x14ac:dyDescent="0.2">
      <c r="A17" s="181" t="s">
        <v>726</v>
      </c>
      <c r="B17" t="s">
        <v>741</v>
      </c>
      <c r="C17" s="177">
        <f>ROUND('DOE25'!L204+'DOE25'!L209+'DOE25'!L222+'DOE25'!L227+'DOE25'!L240+'DOE25'!L245+'DOE25'!L283+'DOE25'!L288+'DOE25'!L302+'DOE25'!L307+'DOE25'!L321+'DOE25'!L326,0)</f>
        <v>2636454</v>
      </c>
      <c r="D17" s="180">
        <f t="shared" si="0"/>
        <v>4.2</v>
      </c>
    </row>
    <row r="18" spans="1:4" x14ac:dyDescent="0.2">
      <c r="A18">
        <v>2400</v>
      </c>
      <c r="B18" t="s">
        <v>714</v>
      </c>
      <c r="C18" s="177">
        <f>ROUND('DOE25'!L205+'DOE25'!L223+'DOE25'!L241+'DOE25'!L284+'DOE25'!L303+'DOE25'!L322,0)</f>
        <v>3303443</v>
      </c>
      <c r="D18" s="180">
        <f t="shared" si="0"/>
        <v>5.3</v>
      </c>
    </row>
    <row r="19" spans="1:4" x14ac:dyDescent="0.2">
      <c r="A19">
        <v>2500</v>
      </c>
      <c r="B19" t="s">
        <v>711</v>
      </c>
      <c r="C19" s="177">
        <f>ROUND('DOE25'!L206+'DOE25'!L224+'DOE25'!L242+'DOE25'!L285+'DOE25'!L304+'DOE25'!L323,0)</f>
        <v>622314</v>
      </c>
      <c r="D19" s="180">
        <f t="shared" si="0"/>
        <v>1</v>
      </c>
    </row>
    <row r="20" spans="1:4" x14ac:dyDescent="0.2">
      <c r="A20">
        <v>2600</v>
      </c>
      <c r="B20" t="s">
        <v>712</v>
      </c>
      <c r="C20" s="177">
        <f>ROUND('DOE25'!L207+'DOE25'!L225+'DOE25'!L243+'DOE25'!L286+'DOE25'!L305+'DOE25'!L324,0)</f>
        <v>4429743</v>
      </c>
      <c r="D20" s="180">
        <f t="shared" si="0"/>
        <v>7.1</v>
      </c>
    </row>
    <row r="21" spans="1:4" x14ac:dyDescent="0.2">
      <c r="A21">
        <v>2700</v>
      </c>
      <c r="B21" t="s">
        <v>713</v>
      </c>
      <c r="C21" s="177">
        <f>ROUND('DOE25'!L208+'DOE25'!L226+'DOE25'!L244+'DOE25'!L287+'DOE25'!L306+'DOE25'!L325,0)</f>
        <v>2320814</v>
      </c>
      <c r="D21" s="180">
        <f t="shared" si="0"/>
        <v>3.7</v>
      </c>
    </row>
    <row r="22" spans="1:4" x14ac:dyDescent="0.2">
      <c r="A22">
        <v>2900</v>
      </c>
      <c r="B22" t="s">
        <v>715</v>
      </c>
      <c r="C22" s="177">
        <v>0</v>
      </c>
      <c r="D22" s="180">
        <f t="shared" si="0"/>
        <v>0</v>
      </c>
    </row>
    <row r="23" spans="1:4" x14ac:dyDescent="0.2">
      <c r="A23">
        <v>1500</v>
      </c>
      <c r="B23" t="s">
        <v>717</v>
      </c>
      <c r="C23" s="177">
        <f>ROUND('DOE25'!L250+'DOE25'!L332,0)</f>
        <v>2013</v>
      </c>
      <c r="D23" s="180">
        <f t="shared" si="0"/>
        <v>0</v>
      </c>
    </row>
    <row r="24" spans="1:4" x14ac:dyDescent="0.2">
      <c r="A24" s="181" t="s">
        <v>725</v>
      </c>
      <c r="B24" t="s">
        <v>718</v>
      </c>
      <c r="C24" s="177">
        <f>ROUND('DOE25'!L251+'DOE25'!L252+'DOE25'!L253+'DOE25'!L254+'DOE25'!L333+'DOE25'!L334+'DOE25'!L335,0)</f>
        <v>34191</v>
      </c>
      <c r="D24" s="180">
        <f t="shared" si="0"/>
        <v>0.1</v>
      </c>
    </row>
    <row r="25" spans="1:4" x14ac:dyDescent="0.2">
      <c r="A25">
        <v>5120</v>
      </c>
      <c r="B25" t="s">
        <v>719</v>
      </c>
      <c r="C25" s="177">
        <f>ROUND('DOE25'!L261+'DOE25'!L342,0)</f>
        <v>837030</v>
      </c>
      <c r="D25" s="180">
        <f t="shared" si="0"/>
        <v>1.3</v>
      </c>
    </row>
    <row r="26" spans="1:4" x14ac:dyDescent="0.2">
      <c r="A26" s="181" t="s">
        <v>720</v>
      </c>
      <c r="B26" t="s">
        <v>721</v>
      </c>
      <c r="C26" s="177">
        <f>'DOE25'!L268+'DOE25'!L269+'DOE25'!L349+'DOE25'!L350</f>
        <v>0</v>
      </c>
      <c r="D26" s="180">
        <f t="shared" si="0"/>
        <v>0</v>
      </c>
    </row>
    <row r="27" spans="1:4" x14ac:dyDescent="0.2">
      <c r="A27">
        <v>3100</v>
      </c>
      <c r="B27" t="s">
        <v>11</v>
      </c>
      <c r="C27" s="177">
        <f>ROUND('DOE25'!L362-'DOE25'!L361,0)-SUM('DOE25'!G97:G110)</f>
        <v>1183370.8700000001</v>
      </c>
      <c r="D27" s="180">
        <f t="shared" si="0"/>
        <v>1.9</v>
      </c>
    </row>
    <row r="28" spans="1:4" x14ac:dyDescent="0.2">
      <c r="B28" s="185" t="s">
        <v>722</v>
      </c>
      <c r="C28" s="178">
        <f>SUM(C10:C27)</f>
        <v>62745937.869999997</v>
      </c>
      <c r="D28" s="182">
        <f>ROUND(SUM(D10:D27),0)</f>
        <v>100</v>
      </c>
    </row>
    <row r="29" spans="1:4" x14ac:dyDescent="0.2">
      <c r="A29">
        <v>4000</v>
      </c>
      <c r="B29" t="s">
        <v>727</v>
      </c>
      <c r="C29" s="177">
        <f>ROUND('DOE25'!L255+'DOE25'!L336+'DOE25'!L374+'DOE25'!L375+'DOE25'!L376+'DOE25'!L377+'DOE25'!L378+'DOE25'!L379+'DOE25'!L380,0)</f>
        <v>2253832</v>
      </c>
    </row>
    <row r="30" spans="1:4" x14ac:dyDescent="0.2">
      <c r="B30" s="185" t="s">
        <v>728</v>
      </c>
      <c r="C30" s="178">
        <f>SUM(C28:C29)</f>
        <v>64999769.869999997</v>
      </c>
    </row>
    <row r="31" spans="1:4" x14ac:dyDescent="0.2">
      <c r="B31" s="33"/>
      <c r="C31" s="178"/>
    </row>
    <row r="32" spans="1:4" x14ac:dyDescent="0.2">
      <c r="A32">
        <v>5100</v>
      </c>
      <c r="B32" s="33" t="s">
        <v>729</v>
      </c>
      <c r="C32" s="178">
        <f>ROUND('DOE25'!L260+'DOE25'!L341,0)</f>
        <v>1488997</v>
      </c>
    </row>
    <row r="34" spans="1:4" x14ac:dyDescent="0.2">
      <c r="A34" s="185" t="s">
        <v>94</v>
      </c>
      <c r="B34" s="186" t="s">
        <v>910</v>
      </c>
      <c r="C34" s="179" t="s">
        <v>723</v>
      </c>
      <c r="D34" s="179" t="s">
        <v>724</v>
      </c>
    </row>
    <row r="35" spans="1:4" x14ac:dyDescent="0.2">
      <c r="A35">
        <v>1100</v>
      </c>
      <c r="B35" s="183" t="s">
        <v>730</v>
      </c>
      <c r="C35" s="177">
        <f>ROUND('DOE25'!F60+'DOE25'!G60+'DOE25'!H60+'DOE25'!I60+'DOE25'!J60,0)</f>
        <v>27111215</v>
      </c>
      <c r="D35" s="180">
        <f t="shared" ref="D35:D40" si="1">ROUND((C35/$C$41)*100,1)</f>
        <v>33.6</v>
      </c>
    </row>
    <row r="36" spans="1:4" x14ac:dyDescent="0.2">
      <c r="B36" s="183" t="s">
        <v>742</v>
      </c>
      <c r="C36" s="177">
        <f>SUM('DOE25'!F112:J112)-SUM('DOE25'!G97:G110)+('DOE25'!F174+'DOE25'!F175+'DOE25'!I174+'DOE25'!I175)-C35</f>
        <v>19147849.82</v>
      </c>
      <c r="D36" s="180">
        <f t="shared" si="1"/>
        <v>23.8</v>
      </c>
    </row>
    <row r="37" spans="1:4" x14ac:dyDescent="0.2">
      <c r="A37" s="181" t="s">
        <v>850</v>
      </c>
      <c r="B37" s="183" t="s">
        <v>731</v>
      </c>
      <c r="C37" s="177">
        <f>ROUND('DOE25'!F117+'DOE25'!F118,0)</f>
        <v>27576649</v>
      </c>
      <c r="D37" s="180">
        <f t="shared" si="1"/>
        <v>34.200000000000003</v>
      </c>
    </row>
    <row r="38" spans="1:4" x14ac:dyDescent="0.2">
      <c r="A38" s="181" t="s">
        <v>737</v>
      </c>
      <c r="B38" s="183" t="s">
        <v>732</v>
      </c>
      <c r="C38" s="177">
        <f>ROUND(SUM('DOE25'!F140:J140)-SUM('DOE25'!F117:F119),0)</f>
        <v>704262</v>
      </c>
      <c r="D38" s="180">
        <f t="shared" si="1"/>
        <v>0.9</v>
      </c>
    </row>
    <row r="39" spans="1:4" x14ac:dyDescent="0.2">
      <c r="A39">
        <v>4000</v>
      </c>
      <c r="B39" s="183" t="s">
        <v>733</v>
      </c>
      <c r="C39" s="177">
        <f>ROUND('DOE25'!F169+'DOE25'!G169+'DOE25'!H169+'DOE25'!I169,0)</f>
        <v>6053948</v>
      </c>
      <c r="D39" s="180">
        <f t="shared" si="1"/>
        <v>7.5</v>
      </c>
    </row>
    <row r="40" spans="1:4" x14ac:dyDescent="0.2">
      <c r="A40" s="181" t="s">
        <v>738</v>
      </c>
      <c r="B40" s="183" t="s">
        <v>734</v>
      </c>
      <c r="C40" s="177">
        <f>ROUND(SUM('DOE25'!F189:F191)+SUM('DOE25'!G189:G191)+SUM('DOE25'!H189:H191)+SUM('DOE25'!I189:I191),0)</f>
        <v>0</v>
      </c>
      <c r="D40" s="180">
        <f t="shared" si="1"/>
        <v>0</v>
      </c>
    </row>
    <row r="41" spans="1:4" x14ac:dyDescent="0.2">
      <c r="B41" s="185" t="s">
        <v>735</v>
      </c>
      <c r="C41" s="178">
        <f>SUM(C35:C40)</f>
        <v>80593923.819999993</v>
      </c>
      <c r="D41" s="182">
        <f>SUM(D35:D40)</f>
        <v>100.00000000000001</v>
      </c>
    </row>
    <row r="42" spans="1:4" x14ac:dyDescent="0.2">
      <c r="A42" s="181" t="s">
        <v>740</v>
      </c>
      <c r="B42" s="183" t="s">
        <v>736</v>
      </c>
      <c r="C42" s="177">
        <f>ROUND('DOE25'!F173+'DOE25'!I173+'DOE25'!F176+'DOE25'!I176,0)</f>
        <v>419675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0" sqref="C10:M1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1"/>
      <c r="K1" s="211"/>
      <c r="L1" s="211"/>
      <c r="M1" s="212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Rochester School Department</v>
      </c>
      <c r="G2" s="299"/>
      <c r="H2" s="299"/>
      <c r="I2" s="299"/>
      <c r="J2" s="52"/>
      <c r="K2" s="52"/>
      <c r="L2" s="52"/>
      <c r="M2" s="213"/>
    </row>
    <row r="3" spans="1:26" x14ac:dyDescent="0.2">
      <c r="A3" s="214" t="s">
        <v>767</v>
      </c>
      <c r="B3" s="215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6">
        <v>19</v>
      </c>
      <c r="B4" s="217" t="s">
        <v>919</v>
      </c>
      <c r="C4" s="285" t="s">
        <v>912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6"/>
      <c r="B5" s="217"/>
      <c r="C5" s="285" t="s">
        <v>913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6"/>
      <c r="B6" s="217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6">
        <v>19</v>
      </c>
      <c r="B7" s="217" t="s">
        <v>917</v>
      </c>
      <c r="C7" s="285" t="s">
        <v>921</v>
      </c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6">
        <v>19</v>
      </c>
      <c r="B8" s="217" t="s">
        <v>918</v>
      </c>
      <c r="C8" s="285" t="s">
        <v>920</v>
      </c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6"/>
      <c r="B9" s="217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6">
        <v>3</v>
      </c>
      <c r="B10" s="217">
        <v>24</v>
      </c>
      <c r="C10" s="285" t="s">
        <v>923</v>
      </c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6"/>
      <c r="B11" s="217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6"/>
      <c r="B12" s="217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6"/>
      <c r="B13" s="217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6"/>
      <c r="B14" s="217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6"/>
      <c r="B15" s="217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6"/>
      <c r="B16" s="217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6"/>
      <c r="B17" s="217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6"/>
      <c r="B18" s="217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6"/>
      <c r="B19" s="217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6"/>
      <c r="B20" s="217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6"/>
      <c r="B21" s="217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6"/>
      <c r="B22" s="217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6"/>
      <c r="B23" s="217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6"/>
      <c r="B24" s="217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6"/>
      <c r="B25" s="217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6"/>
      <c r="B26" s="217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6"/>
      <c r="B27" s="217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6"/>
      <c r="B28" s="217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6"/>
      <c r="B29" s="217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09"/>
      <c r="O29" s="209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5"/>
      <c r="AB29" s="205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5"/>
      <c r="AO29" s="205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5"/>
      <c r="BB29" s="205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5"/>
      <c r="BO29" s="205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5"/>
      <c r="CB29" s="205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5"/>
      <c r="CO29" s="205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5"/>
      <c r="DB29" s="205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5"/>
      <c r="DO29" s="205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5"/>
      <c r="EB29" s="205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5"/>
      <c r="EO29" s="205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5"/>
      <c r="FB29" s="205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5"/>
      <c r="FO29" s="205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5"/>
      <c r="GB29" s="205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5"/>
      <c r="GO29" s="205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5"/>
      <c r="HB29" s="205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5"/>
      <c r="HO29" s="205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5"/>
      <c r="IB29" s="205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5"/>
      <c r="IO29" s="205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6"/>
      <c r="B30" s="217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09"/>
      <c r="O30" s="209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5"/>
      <c r="AB30" s="205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5"/>
      <c r="AO30" s="205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5"/>
      <c r="BB30" s="205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5"/>
      <c r="BO30" s="205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5"/>
      <c r="CB30" s="205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5"/>
      <c r="CO30" s="205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5"/>
      <c r="DB30" s="205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5"/>
      <c r="DO30" s="205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5"/>
      <c r="EB30" s="205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5"/>
      <c r="EO30" s="205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5"/>
      <c r="FB30" s="205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5"/>
      <c r="FO30" s="205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5"/>
      <c r="GB30" s="205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5"/>
      <c r="GO30" s="205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5"/>
      <c r="HB30" s="205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5"/>
      <c r="HO30" s="205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5"/>
      <c r="IB30" s="205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5"/>
      <c r="IO30" s="205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6"/>
      <c r="B31" s="217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09"/>
      <c r="O31" s="209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5"/>
      <c r="AB31" s="205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5"/>
      <c r="AO31" s="205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5"/>
      <c r="BB31" s="205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5"/>
      <c r="BO31" s="205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5"/>
      <c r="CB31" s="205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5"/>
      <c r="CO31" s="205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5"/>
      <c r="DB31" s="205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5"/>
      <c r="DO31" s="205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5"/>
      <c r="EB31" s="205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5"/>
      <c r="EO31" s="205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5"/>
      <c r="FB31" s="205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5"/>
      <c r="FO31" s="205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5"/>
      <c r="GB31" s="205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5"/>
      <c r="GO31" s="205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5"/>
      <c r="HB31" s="205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5"/>
      <c r="HO31" s="205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5"/>
      <c r="IB31" s="205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5"/>
      <c r="IO31" s="205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6"/>
      <c r="B32" s="217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1"/>
      <c r="O32" s="221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6"/>
      <c r="AB32" s="217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6"/>
      <c r="AO32" s="217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6"/>
      <c r="BB32" s="217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6"/>
      <c r="BO32" s="217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6"/>
      <c r="CB32" s="217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6"/>
      <c r="CO32" s="217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6"/>
      <c r="DB32" s="217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6"/>
      <c r="DO32" s="217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6"/>
      <c r="EB32" s="217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6"/>
      <c r="EO32" s="217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6"/>
      <c r="FB32" s="217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6"/>
      <c r="FO32" s="217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6"/>
      <c r="GB32" s="217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6"/>
      <c r="GO32" s="217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6"/>
      <c r="HB32" s="217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6"/>
      <c r="HO32" s="217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6"/>
      <c r="IB32" s="217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6"/>
      <c r="IO32" s="217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6"/>
      <c r="B33" s="217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09"/>
      <c r="O33" s="209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05"/>
      <c r="AB33" s="205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05"/>
      <c r="AO33" s="205"/>
      <c r="AP33" s="210"/>
      <c r="AQ33" s="210"/>
      <c r="AR33" s="210"/>
      <c r="AS33" s="210"/>
      <c r="AT33" s="210"/>
      <c r="AU33" s="210"/>
      <c r="AV33" s="210"/>
      <c r="AW33" s="210"/>
      <c r="AX33" s="210"/>
      <c r="AY33" s="210"/>
      <c r="AZ33" s="210"/>
      <c r="BA33" s="205"/>
      <c r="BB33" s="205"/>
      <c r="BC33" s="210"/>
      <c r="BD33" s="210"/>
      <c r="BE33" s="210"/>
      <c r="BF33" s="210"/>
      <c r="BG33" s="210"/>
      <c r="BH33" s="210"/>
      <c r="BI33" s="210"/>
      <c r="BJ33" s="210"/>
      <c r="BK33" s="210"/>
      <c r="BL33" s="210"/>
      <c r="BM33" s="210"/>
      <c r="BN33" s="205"/>
      <c r="BO33" s="205"/>
      <c r="BP33" s="210"/>
      <c r="BQ33" s="210"/>
      <c r="BR33" s="210"/>
      <c r="BS33" s="210"/>
      <c r="BT33" s="210"/>
      <c r="BU33" s="210"/>
      <c r="BV33" s="210"/>
      <c r="BW33" s="210"/>
      <c r="BX33" s="210"/>
      <c r="BY33" s="210"/>
      <c r="BZ33" s="210"/>
      <c r="CA33" s="205"/>
      <c r="CB33" s="205"/>
      <c r="CC33" s="210"/>
      <c r="CD33" s="210"/>
      <c r="CE33" s="210"/>
      <c r="CF33" s="210"/>
      <c r="CG33" s="210"/>
      <c r="CH33" s="210"/>
      <c r="CI33" s="210"/>
      <c r="CJ33" s="210"/>
      <c r="CK33" s="210"/>
      <c r="CL33" s="210"/>
      <c r="CM33" s="210"/>
      <c r="CN33" s="205"/>
      <c r="CO33" s="205"/>
      <c r="CP33" s="210"/>
      <c r="CQ33" s="210"/>
      <c r="CR33" s="210"/>
      <c r="CS33" s="210"/>
      <c r="CT33" s="210"/>
      <c r="CU33" s="210"/>
      <c r="CV33" s="210"/>
      <c r="CW33" s="210"/>
      <c r="CX33" s="210"/>
      <c r="CY33" s="210"/>
      <c r="CZ33" s="210"/>
      <c r="DA33" s="205"/>
      <c r="DB33" s="205"/>
      <c r="DC33" s="210"/>
      <c r="DD33" s="210"/>
      <c r="DE33" s="210"/>
      <c r="DF33" s="210"/>
      <c r="DG33" s="210"/>
      <c r="DH33" s="210"/>
      <c r="DI33" s="210"/>
      <c r="DJ33" s="210"/>
      <c r="DK33" s="210"/>
      <c r="DL33" s="210"/>
      <c r="DM33" s="210"/>
      <c r="DN33" s="205"/>
      <c r="DO33" s="205"/>
      <c r="DP33" s="210"/>
      <c r="DQ33" s="210"/>
      <c r="DR33" s="210"/>
      <c r="DS33" s="210"/>
      <c r="DT33" s="210"/>
      <c r="DU33" s="210"/>
      <c r="DV33" s="210"/>
      <c r="DW33" s="210"/>
      <c r="DX33" s="210"/>
      <c r="DY33" s="210"/>
      <c r="DZ33" s="210"/>
      <c r="EA33" s="205"/>
      <c r="EB33" s="205"/>
      <c r="EC33" s="210"/>
      <c r="ED33" s="210"/>
      <c r="EE33" s="210"/>
      <c r="EF33" s="210"/>
      <c r="EG33" s="210"/>
      <c r="EH33" s="210"/>
      <c r="EI33" s="210"/>
      <c r="EJ33" s="210"/>
      <c r="EK33" s="210"/>
      <c r="EL33" s="210"/>
      <c r="EM33" s="210"/>
      <c r="EN33" s="205"/>
      <c r="EO33" s="205"/>
      <c r="EP33" s="210"/>
      <c r="EQ33" s="210"/>
      <c r="ER33" s="210"/>
      <c r="ES33" s="210"/>
      <c r="ET33" s="210"/>
      <c r="EU33" s="210"/>
      <c r="EV33" s="210"/>
      <c r="EW33" s="210"/>
      <c r="EX33" s="210"/>
      <c r="EY33" s="210"/>
      <c r="EZ33" s="210"/>
      <c r="FA33" s="205"/>
      <c r="FB33" s="205"/>
      <c r="FC33" s="210"/>
      <c r="FD33" s="210"/>
      <c r="FE33" s="210"/>
      <c r="FF33" s="210"/>
      <c r="FG33" s="210"/>
      <c r="FH33" s="210"/>
      <c r="FI33" s="210"/>
      <c r="FJ33" s="210"/>
      <c r="FK33" s="210"/>
      <c r="FL33" s="210"/>
      <c r="FM33" s="210"/>
      <c r="FN33" s="205"/>
      <c r="FO33" s="205"/>
      <c r="FP33" s="210"/>
      <c r="FQ33" s="210"/>
      <c r="FR33" s="210"/>
      <c r="FS33" s="210"/>
      <c r="FT33" s="210"/>
      <c r="FU33" s="210"/>
      <c r="FV33" s="210"/>
      <c r="FW33" s="210"/>
      <c r="FX33" s="210"/>
      <c r="FY33" s="210"/>
      <c r="FZ33" s="210"/>
      <c r="GA33" s="205"/>
      <c r="GB33" s="205"/>
      <c r="GC33" s="210"/>
      <c r="GD33" s="210"/>
      <c r="GE33" s="210"/>
      <c r="GF33" s="210"/>
      <c r="GG33" s="210"/>
      <c r="GH33" s="210"/>
      <c r="GI33" s="210"/>
      <c r="GJ33" s="210"/>
      <c r="GK33" s="210"/>
      <c r="GL33" s="210"/>
      <c r="GM33" s="210"/>
      <c r="GN33" s="205"/>
      <c r="GO33" s="205"/>
      <c r="GP33" s="210"/>
      <c r="GQ33" s="210"/>
      <c r="GR33" s="210"/>
      <c r="GS33" s="210"/>
      <c r="GT33" s="210"/>
      <c r="GU33" s="210"/>
      <c r="GV33" s="210"/>
      <c r="GW33" s="210"/>
      <c r="GX33" s="210"/>
      <c r="GY33" s="210"/>
      <c r="GZ33" s="210"/>
      <c r="HA33" s="205"/>
      <c r="HB33" s="205"/>
      <c r="HC33" s="210"/>
      <c r="HD33" s="210"/>
      <c r="HE33" s="210"/>
      <c r="HF33" s="210"/>
      <c r="HG33" s="210"/>
      <c r="HH33" s="210"/>
      <c r="HI33" s="210"/>
      <c r="HJ33" s="210"/>
      <c r="HK33" s="210"/>
      <c r="HL33" s="210"/>
      <c r="HM33" s="210"/>
      <c r="HN33" s="205"/>
      <c r="HO33" s="205"/>
      <c r="HP33" s="210"/>
      <c r="HQ33" s="210"/>
      <c r="HR33" s="210"/>
      <c r="HS33" s="210"/>
      <c r="HT33" s="210"/>
      <c r="HU33" s="210"/>
      <c r="HV33" s="210"/>
      <c r="HW33" s="210"/>
      <c r="HX33" s="210"/>
      <c r="HY33" s="210"/>
      <c r="HZ33" s="210"/>
      <c r="IA33" s="205"/>
      <c r="IB33" s="205"/>
      <c r="IC33" s="210"/>
      <c r="ID33" s="210"/>
      <c r="IE33" s="210"/>
      <c r="IF33" s="210"/>
      <c r="IG33" s="210"/>
      <c r="IH33" s="210"/>
      <c r="II33" s="210"/>
      <c r="IJ33" s="210"/>
      <c r="IK33" s="210"/>
      <c r="IL33" s="210"/>
      <c r="IM33" s="210"/>
      <c r="IN33" s="205"/>
      <c r="IO33" s="205"/>
      <c r="IP33" s="210"/>
      <c r="IQ33" s="210"/>
      <c r="IR33" s="210"/>
      <c r="IS33" s="210"/>
      <c r="IT33" s="210"/>
      <c r="IU33" s="210"/>
      <c r="IV33" s="210"/>
    </row>
    <row r="34" spans="1:256" x14ac:dyDescent="0.2">
      <c r="A34" s="216"/>
      <c r="B34" s="217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09"/>
      <c r="O34" s="209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05"/>
      <c r="AB34" s="205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05"/>
      <c r="AO34" s="205"/>
      <c r="AP34" s="210"/>
      <c r="AQ34" s="210"/>
      <c r="AR34" s="210"/>
      <c r="AS34" s="210"/>
      <c r="AT34" s="210"/>
      <c r="AU34" s="210"/>
      <c r="AV34" s="210"/>
      <c r="AW34" s="210"/>
      <c r="AX34" s="210"/>
      <c r="AY34" s="210"/>
      <c r="AZ34" s="210"/>
      <c r="BA34" s="205"/>
      <c r="BB34" s="205"/>
      <c r="BC34" s="210"/>
      <c r="BD34" s="210"/>
      <c r="BE34" s="210"/>
      <c r="BF34" s="210"/>
      <c r="BG34" s="210"/>
      <c r="BH34" s="210"/>
      <c r="BI34" s="210"/>
      <c r="BJ34" s="210"/>
      <c r="BK34" s="210"/>
      <c r="BL34" s="210"/>
      <c r="BM34" s="210"/>
      <c r="BN34" s="205"/>
      <c r="BO34" s="205"/>
      <c r="BP34" s="210"/>
      <c r="BQ34" s="210"/>
      <c r="BR34" s="210"/>
      <c r="BS34" s="210"/>
      <c r="BT34" s="210"/>
      <c r="BU34" s="210"/>
      <c r="BV34" s="210"/>
      <c r="BW34" s="210"/>
      <c r="BX34" s="210"/>
      <c r="BY34" s="210"/>
      <c r="BZ34" s="210"/>
      <c r="CA34" s="205"/>
      <c r="CB34" s="205"/>
      <c r="CC34" s="210"/>
      <c r="CD34" s="210"/>
      <c r="CE34" s="210"/>
      <c r="CF34" s="210"/>
      <c r="CG34" s="210"/>
      <c r="CH34" s="210"/>
      <c r="CI34" s="210"/>
      <c r="CJ34" s="210"/>
      <c r="CK34" s="210"/>
      <c r="CL34" s="210"/>
      <c r="CM34" s="210"/>
      <c r="CN34" s="205"/>
      <c r="CO34" s="205"/>
      <c r="CP34" s="210"/>
      <c r="CQ34" s="210"/>
      <c r="CR34" s="210"/>
      <c r="CS34" s="210"/>
      <c r="CT34" s="210"/>
      <c r="CU34" s="210"/>
      <c r="CV34" s="210"/>
      <c r="CW34" s="210"/>
      <c r="CX34" s="210"/>
      <c r="CY34" s="210"/>
      <c r="CZ34" s="210"/>
      <c r="DA34" s="205"/>
      <c r="DB34" s="205"/>
      <c r="DC34" s="210"/>
      <c r="DD34" s="210"/>
      <c r="DE34" s="210"/>
      <c r="DF34" s="210"/>
      <c r="DG34" s="210"/>
      <c r="DH34" s="210"/>
      <c r="DI34" s="210"/>
      <c r="DJ34" s="210"/>
      <c r="DK34" s="210"/>
      <c r="DL34" s="210"/>
      <c r="DM34" s="210"/>
      <c r="DN34" s="205"/>
      <c r="DO34" s="205"/>
      <c r="DP34" s="210"/>
      <c r="DQ34" s="210"/>
      <c r="DR34" s="210"/>
      <c r="DS34" s="210"/>
      <c r="DT34" s="210"/>
      <c r="DU34" s="210"/>
      <c r="DV34" s="210"/>
      <c r="DW34" s="210"/>
      <c r="DX34" s="210"/>
      <c r="DY34" s="210"/>
      <c r="DZ34" s="210"/>
      <c r="EA34" s="205"/>
      <c r="EB34" s="205"/>
      <c r="EC34" s="210"/>
      <c r="ED34" s="210"/>
      <c r="EE34" s="210"/>
      <c r="EF34" s="210"/>
      <c r="EG34" s="210"/>
      <c r="EH34" s="210"/>
      <c r="EI34" s="210"/>
      <c r="EJ34" s="210"/>
      <c r="EK34" s="210"/>
      <c r="EL34" s="210"/>
      <c r="EM34" s="210"/>
      <c r="EN34" s="205"/>
      <c r="EO34" s="205"/>
      <c r="EP34" s="210"/>
      <c r="EQ34" s="210"/>
      <c r="ER34" s="210"/>
      <c r="ES34" s="210"/>
      <c r="ET34" s="210"/>
      <c r="EU34" s="210"/>
      <c r="EV34" s="210"/>
      <c r="EW34" s="210"/>
      <c r="EX34" s="210"/>
      <c r="EY34" s="210"/>
      <c r="EZ34" s="210"/>
      <c r="FA34" s="205"/>
      <c r="FB34" s="205"/>
      <c r="FC34" s="210"/>
      <c r="FD34" s="210"/>
      <c r="FE34" s="210"/>
      <c r="FF34" s="210"/>
      <c r="FG34" s="210"/>
      <c r="FH34" s="210"/>
      <c r="FI34" s="210"/>
      <c r="FJ34" s="210"/>
      <c r="FK34" s="210"/>
      <c r="FL34" s="210"/>
      <c r="FM34" s="210"/>
      <c r="FN34" s="205"/>
      <c r="FO34" s="205"/>
      <c r="FP34" s="210"/>
      <c r="FQ34" s="210"/>
      <c r="FR34" s="210"/>
      <c r="FS34" s="210"/>
      <c r="FT34" s="210"/>
      <c r="FU34" s="210"/>
      <c r="FV34" s="210"/>
      <c r="FW34" s="210"/>
      <c r="FX34" s="210"/>
      <c r="FY34" s="210"/>
      <c r="FZ34" s="210"/>
      <c r="GA34" s="205"/>
      <c r="GB34" s="205"/>
      <c r="GC34" s="210"/>
      <c r="GD34" s="210"/>
      <c r="GE34" s="210"/>
      <c r="GF34" s="210"/>
      <c r="GG34" s="210"/>
      <c r="GH34" s="210"/>
      <c r="GI34" s="210"/>
      <c r="GJ34" s="210"/>
      <c r="GK34" s="210"/>
      <c r="GL34" s="210"/>
      <c r="GM34" s="210"/>
      <c r="GN34" s="205"/>
      <c r="GO34" s="205"/>
      <c r="GP34" s="210"/>
      <c r="GQ34" s="210"/>
      <c r="GR34" s="210"/>
      <c r="GS34" s="210"/>
      <c r="GT34" s="210"/>
      <c r="GU34" s="210"/>
      <c r="GV34" s="210"/>
      <c r="GW34" s="210"/>
      <c r="GX34" s="210"/>
      <c r="GY34" s="210"/>
      <c r="GZ34" s="210"/>
      <c r="HA34" s="205"/>
      <c r="HB34" s="205"/>
      <c r="HC34" s="210"/>
      <c r="HD34" s="210"/>
      <c r="HE34" s="210"/>
      <c r="HF34" s="210"/>
      <c r="HG34" s="210"/>
      <c r="HH34" s="210"/>
      <c r="HI34" s="210"/>
      <c r="HJ34" s="210"/>
      <c r="HK34" s="210"/>
      <c r="HL34" s="210"/>
      <c r="HM34" s="210"/>
      <c r="HN34" s="205"/>
      <c r="HO34" s="205"/>
      <c r="HP34" s="210"/>
      <c r="HQ34" s="210"/>
      <c r="HR34" s="210"/>
      <c r="HS34" s="210"/>
      <c r="HT34" s="210"/>
      <c r="HU34" s="210"/>
      <c r="HV34" s="210"/>
      <c r="HW34" s="210"/>
      <c r="HX34" s="210"/>
      <c r="HY34" s="210"/>
      <c r="HZ34" s="210"/>
      <c r="IA34" s="205"/>
      <c r="IB34" s="205"/>
      <c r="IC34" s="210"/>
      <c r="ID34" s="210"/>
      <c r="IE34" s="210"/>
      <c r="IF34" s="210"/>
      <c r="IG34" s="210"/>
      <c r="IH34" s="210"/>
      <c r="II34" s="210"/>
      <c r="IJ34" s="210"/>
      <c r="IK34" s="210"/>
      <c r="IL34" s="210"/>
      <c r="IM34" s="210"/>
      <c r="IN34" s="205"/>
      <c r="IO34" s="205"/>
      <c r="IP34" s="210"/>
      <c r="IQ34" s="210"/>
      <c r="IR34" s="210"/>
      <c r="IS34" s="210"/>
      <c r="IT34" s="210"/>
      <c r="IU34" s="210"/>
      <c r="IV34" s="210"/>
    </row>
    <row r="35" spans="1:256" x14ac:dyDescent="0.2">
      <c r="A35" s="216"/>
      <c r="B35" s="217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09"/>
      <c r="O35" s="209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05"/>
      <c r="AB35" s="205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05"/>
      <c r="AO35" s="205"/>
      <c r="AP35" s="210"/>
      <c r="AQ35" s="210"/>
      <c r="AR35" s="210"/>
      <c r="AS35" s="210"/>
      <c r="AT35" s="210"/>
      <c r="AU35" s="210"/>
      <c r="AV35" s="210"/>
      <c r="AW35" s="210"/>
      <c r="AX35" s="210"/>
      <c r="AY35" s="210"/>
      <c r="AZ35" s="210"/>
      <c r="BA35" s="205"/>
      <c r="BB35" s="205"/>
      <c r="BC35" s="210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05"/>
      <c r="BO35" s="205"/>
      <c r="BP35" s="210"/>
      <c r="BQ35" s="210"/>
      <c r="BR35" s="210"/>
      <c r="BS35" s="210"/>
      <c r="BT35" s="210"/>
      <c r="BU35" s="210"/>
      <c r="BV35" s="210"/>
      <c r="BW35" s="210"/>
      <c r="BX35" s="210"/>
      <c r="BY35" s="210"/>
      <c r="BZ35" s="210"/>
      <c r="CA35" s="205"/>
      <c r="CB35" s="205"/>
      <c r="CC35" s="210"/>
      <c r="CD35" s="210"/>
      <c r="CE35" s="210"/>
      <c r="CF35" s="210"/>
      <c r="CG35" s="210"/>
      <c r="CH35" s="210"/>
      <c r="CI35" s="210"/>
      <c r="CJ35" s="210"/>
      <c r="CK35" s="210"/>
      <c r="CL35" s="210"/>
      <c r="CM35" s="210"/>
      <c r="CN35" s="205"/>
      <c r="CO35" s="205"/>
      <c r="CP35" s="210"/>
      <c r="CQ35" s="210"/>
      <c r="CR35" s="210"/>
      <c r="CS35" s="210"/>
      <c r="CT35" s="210"/>
      <c r="CU35" s="210"/>
      <c r="CV35" s="210"/>
      <c r="CW35" s="210"/>
      <c r="CX35" s="210"/>
      <c r="CY35" s="210"/>
      <c r="CZ35" s="210"/>
      <c r="DA35" s="205"/>
      <c r="DB35" s="205"/>
      <c r="DC35" s="210"/>
      <c r="DD35" s="210"/>
      <c r="DE35" s="210"/>
      <c r="DF35" s="210"/>
      <c r="DG35" s="210"/>
      <c r="DH35" s="210"/>
      <c r="DI35" s="210"/>
      <c r="DJ35" s="210"/>
      <c r="DK35" s="210"/>
      <c r="DL35" s="210"/>
      <c r="DM35" s="210"/>
      <c r="DN35" s="205"/>
      <c r="DO35" s="205"/>
      <c r="DP35" s="210"/>
      <c r="DQ35" s="210"/>
      <c r="DR35" s="210"/>
      <c r="DS35" s="210"/>
      <c r="DT35" s="210"/>
      <c r="DU35" s="210"/>
      <c r="DV35" s="210"/>
      <c r="DW35" s="210"/>
      <c r="DX35" s="210"/>
      <c r="DY35" s="210"/>
      <c r="DZ35" s="210"/>
      <c r="EA35" s="205"/>
      <c r="EB35" s="205"/>
      <c r="EC35" s="210"/>
      <c r="ED35" s="210"/>
      <c r="EE35" s="210"/>
      <c r="EF35" s="210"/>
      <c r="EG35" s="210"/>
      <c r="EH35" s="210"/>
      <c r="EI35" s="210"/>
      <c r="EJ35" s="210"/>
      <c r="EK35" s="210"/>
      <c r="EL35" s="210"/>
      <c r="EM35" s="210"/>
      <c r="EN35" s="205"/>
      <c r="EO35" s="205"/>
      <c r="EP35" s="210"/>
      <c r="EQ35" s="210"/>
      <c r="ER35" s="210"/>
      <c r="ES35" s="210"/>
      <c r="ET35" s="210"/>
      <c r="EU35" s="210"/>
      <c r="EV35" s="210"/>
      <c r="EW35" s="210"/>
      <c r="EX35" s="210"/>
      <c r="EY35" s="210"/>
      <c r="EZ35" s="210"/>
      <c r="FA35" s="205"/>
      <c r="FB35" s="205"/>
      <c r="FC35" s="210"/>
      <c r="FD35" s="210"/>
      <c r="FE35" s="210"/>
      <c r="FF35" s="210"/>
      <c r="FG35" s="210"/>
      <c r="FH35" s="210"/>
      <c r="FI35" s="210"/>
      <c r="FJ35" s="210"/>
      <c r="FK35" s="210"/>
      <c r="FL35" s="210"/>
      <c r="FM35" s="210"/>
      <c r="FN35" s="205"/>
      <c r="FO35" s="205"/>
      <c r="FP35" s="210"/>
      <c r="FQ35" s="210"/>
      <c r="FR35" s="210"/>
      <c r="FS35" s="210"/>
      <c r="FT35" s="210"/>
      <c r="FU35" s="210"/>
      <c r="FV35" s="210"/>
      <c r="FW35" s="210"/>
      <c r="FX35" s="210"/>
      <c r="FY35" s="210"/>
      <c r="FZ35" s="210"/>
      <c r="GA35" s="205"/>
      <c r="GB35" s="205"/>
      <c r="GC35" s="210"/>
      <c r="GD35" s="210"/>
      <c r="GE35" s="210"/>
      <c r="GF35" s="210"/>
      <c r="GG35" s="210"/>
      <c r="GH35" s="210"/>
      <c r="GI35" s="210"/>
      <c r="GJ35" s="210"/>
      <c r="GK35" s="210"/>
      <c r="GL35" s="210"/>
      <c r="GM35" s="210"/>
      <c r="GN35" s="205"/>
      <c r="GO35" s="205"/>
      <c r="GP35" s="210"/>
      <c r="GQ35" s="210"/>
      <c r="GR35" s="210"/>
      <c r="GS35" s="210"/>
      <c r="GT35" s="210"/>
      <c r="GU35" s="210"/>
      <c r="GV35" s="210"/>
      <c r="GW35" s="210"/>
      <c r="GX35" s="210"/>
      <c r="GY35" s="210"/>
      <c r="GZ35" s="210"/>
      <c r="HA35" s="205"/>
      <c r="HB35" s="205"/>
      <c r="HC35" s="210"/>
      <c r="HD35" s="210"/>
      <c r="HE35" s="210"/>
      <c r="HF35" s="210"/>
      <c r="HG35" s="210"/>
      <c r="HH35" s="210"/>
      <c r="HI35" s="210"/>
      <c r="HJ35" s="210"/>
      <c r="HK35" s="210"/>
      <c r="HL35" s="210"/>
      <c r="HM35" s="210"/>
      <c r="HN35" s="205"/>
      <c r="HO35" s="205"/>
      <c r="HP35" s="210"/>
      <c r="HQ35" s="210"/>
      <c r="HR35" s="210"/>
      <c r="HS35" s="210"/>
      <c r="HT35" s="210"/>
      <c r="HU35" s="210"/>
      <c r="HV35" s="210"/>
      <c r="HW35" s="210"/>
      <c r="HX35" s="210"/>
      <c r="HY35" s="210"/>
      <c r="HZ35" s="210"/>
      <c r="IA35" s="205"/>
      <c r="IB35" s="205"/>
      <c r="IC35" s="210"/>
      <c r="ID35" s="210"/>
      <c r="IE35" s="210"/>
      <c r="IF35" s="210"/>
      <c r="IG35" s="210"/>
      <c r="IH35" s="210"/>
      <c r="II35" s="210"/>
      <c r="IJ35" s="210"/>
      <c r="IK35" s="210"/>
      <c r="IL35" s="210"/>
      <c r="IM35" s="210"/>
      <c r="IN35" s="205"/>
      <c r="IO35" s="205"/>
      <c r="IP35" s="210"/>
      <c r="IQ35" s="210"/>
      <c r="IR35" s="210"/>
      <c r="IS35" s="210"/>
      <c r="IT35" s="210"/>
      <c r="IU35" s="210"/>
      <c r="IV35" s="210"/>
    </row>
    <row r="36" spans="1:256" x14ac:dyDescent="0.2">
      <c r="A36" s="216"/>
      <c r="B36" s="217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09"/>
      <c r="O36" s="209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05"/>
      <c r="AB36" s="205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05"/>
      <c r="AO36" s="205"/>
      <c r="AP36" s="210"/>
      <c r="AQ36" s="210"/>
      <c r="AR36" s="210"/>
      <c r="AS36" s="210"/>
      <c r="AT36" s="210"/>
      <c r="AU36" s="210"/>
      <c r="AV36" s="210"/>
      <c r="AW36" s="210"/>
      <c r="AX36" s="210"/>
      <c r="AY36" s="210"/>
      <c r="AZ36" s="210"/>
      <c r="BA36" s="205"/>
      <c r="BB36" s="205"/>
      <c r="BC36" s="210"/>
      <c r="BD36" s="210"/>
      <c r="BE36" s="210"/>
      <c r="BF36" s="210"/>
      <c r="BG36" s="210"/>
      <c r="BH36" s="210"/>
      <c r="BI36" s="210"/>
      <c r="BJ36" s="210"/>
      <c r="BK36" s="210"/>
      <c r="BL36" s="210"/>
      <c r="BM36" s="210"/>
      <c r="BN36" s="205"/>
      <c r="BO36" s="205"/>
      <c r="BP36" s="210"/>
      <c r="BQ36" s="210"/>
      <c r="BR36" s="210"/>
      <c r="BS36" s="210"/>
      <c r="BT36" s="210"/>
      <c r="BU36" s="210"/>
      <c r="BV36" s="210"/>
      <c r="BW36" s="210"/>
      <c r="BX36" s="210"/>
      <c r="BY36" s="210"/>
      <c r="BZ36" s="210"/>
      <c r="CA36" s="205"/>
      <c r="CB36" s="205"/>
      <c r="CC36" s="210"/>
      <c r="CD36" s="210"/>
      <c r="CE36" s="210"/>
      <c r="CF36" s="210"/>
      <c r="CG36" s="210"/>
      <c r="CH36" s="210"/>
      <c r="CI36" s="210"/>
      <c r="CJ36" s="210"/>
      <c r="CK36" s="210"/>
      <c r="CL36" s="210"/>
      <c r="CM36" s="210"/>
      <c r="CN36" s="205"/>
      <c r="CO36" s="205"/>
      <c r="CP36" s="210"/>
      <c r="CQ36" s="210"/>
      <c r="CR36" s="210"/>
      <c r="CS36" s="210"/>
      <c r="CT36" s="210"/>
      <c r="CU36" s="210"/>
      <c r="CV36" s="210"/>
      <c r="CW36" s="210"/>
      <c r="CX36" s="210"/>
      <c r="CY36" s="210"/>
      <c r="CZ36" s="210"/>
      <c r="DA36" s="205"/>
      <c r="DB36" s="205"/>
      <c r="DC36" s="210"/>
      <c r="DD36" s="210"/>
      <c r="DE36" s="210"/>
      <c r="DF36" s="210"/>
      <c r="DG36" s="210"/>
      <c r="DH36" s="210"/>
      <c r="DI36" s="210"/>
      <c r="DJ36" s="210"/>
      <c r="DK36" s="210"/>
      <c r="DL36" s="210"/>
      <c r="DM36" s="210"/>
      <c r="DN36" s="205"/>
      <c r="DO36" s="205"/>
      <c r="DP36" s="210"/>
      <c r="DQ36" s="210"/>
      <c r="DR36" s="210"/>
      <c r="DS36" s="210"/>
      <c r="DT36" s="210"/>
      <c r="DU36" s="210"/>
      <c r="DV36" s="210"/>
      <c r="DW36" s="210"/>
      <c r="DX36" s="210"/>
      <c r="DY36" s="210"/>
      <c r="DZ36" s="210"/>
      <c r="EA36" s="205"/>
      <c r="EB36" s="205"/>
      <c r="EC36" s="210"/>
      <c r="ED36" s="210"/>
      <c r="EE36" s="210"/>
      <c r="EF36" s="210"/>
      <c r="EG36" s="210"/>
      <c r="EH36" s="210"/>
      <c r="EI36" s="210"/>
      <c r="EJ36" s="210"/>
      <c r="EK36" s="210"/>
      <c r="EL36" s="210"/>
      <c r="EM36" s="210"/>
      <c r="EN36" s="205"/>
      <c r="EO36" s="205"/>
      <c r="EP36" s="210"/>
      <c r="EQ36" s="210"/>
      <c r="ER36" s="210"/>
      <c r="ES36" s="210"/>
      <c r="ET36" s="210"/>
      <c r="EU36" s="210"/>
      <c r="EV36" s="210"/>
      <c r="EW36" s="210"/>
      <c r="EX36" s="210"/>
      <c r="EY36" s="210"/>
      <c r="EZ36" s="210"/>
      <c r="FA36" s="205"/>
      <c r="FB36" s="205"/>
      <c r="FC36" s="210"/>
      <c r="FD36" s="210"/>
      <c r="FE36" s="210"/>
      <c r="FF36" s="210"/>
      <c r="FG36" s="210"/>
      <c r="FH36" s="210"/>
      <c r="FI36" s="210"/>
      <c r="FJ36" s="210"/>
      <c r="FK36" s="210"/>
      <c r="FL36" s="210"/>
      <c r="FM36" s="210"/>
      <c r="FN36" s="205"/>
      <c r="FO36" s="205"/>
      <c r="FP36" s="210"/>
      <c r="FQ36" s="210"/>
      <c r="FR36" s="210"/>
      <c r="FS36" s="210"/>
      <c r="FT36" s="210"/>
      <c r="FU36" s="210"/>
      <c r="FV36" s="210"/>
      <c r="FW36" s="210"/>
      <c r="FX36" s="210"/>
      <c r="FY36" s="210"/>
      <c r="FZ36" s="210"/>
      <c r="GA36" s="205"/>
      <c r="GB36" s="205"/>
      <c r="GC36" s="210"/>
      <c r="GD36" s="210"/>
      <c r="GE36" s="210"/>
      <c r="GF36" s="210"/>
      <c r="GG36" s="210"/>
      <c r="GH36" s="210"/>
      <c r="GI36" s="210"/>
      <c r="GJ36" s="210"/>
      <c r="GK36" s="210"/>
      <c r="GL36" s="210"/>
      <c r="GM36" s="210"/>
      <c r="GN36" s="205"/>
      <c r="GO36" s="205"/>
      <c r="GP36" s="210"/>
      <c r="GQ36" s="210"/>
      <c r="GR36" s="210"/>
      <c r="GS36" s="210"/>
      <c r="GT36" s="210"/>
      <c r="GU36" s="210"/>
      <c r="GV36" s="210"/>
      <c r="GW36" s="210"/>
      <c r="GX36" s="210"/>
      <c r="GY36" s="210"/>
      <c r="GZ36" s="210"/>
      <c r="HA36" s="205"/>
      <c r="HB36" s="205"/>
      <c r="HC36" s="210"/>
      <c r="HD36" s="210"/>
      <c r="HE36" s="210"/>
      <c r="HF36" s="210"/>
      <c r="HG36" s="210"/>
      <c r="HH36" s="210"/>
      <c r="HI36" s="210"/>
      <c r="HJ36" s="210"/>
      <c r="HK36" s="210"/>
      <c r="HL36" s="210"/>
      <c r="HM36" s="210"/>
      <c r="HN36" s="205"/>
      <c r="HO36" s="205"/>
      <c r="HP36" s="210"/>
      <c r="HQ36" s="210"/>
      <c r="HR36" s="210"/>
      <c r="HS36" s="210"/>
      <c r="HT36" s="210"/>
      <c r="HU36" s="210"/>
      <c r="HV36" s="210"/>
      <c r="HW36" s="210"/>
      <c r="HX36" s="210"/>
      <c r="HY36" s="210"/>
      <c r="HZ36" s="210"/>
      <c r="IA36" s="205"/>
      <c r="IB36" s="205"/>
      <c r="IC36" s="210"/>
      <c r="ID36" s="210"/>
      <c r="IE36" s="210"/>
      <c r="IF36" s="210"/>
      <c r="IG36" s="210"/>
      <c r="IH36" s="210"/>
      <c r="II36" s="210"/>
      <c r="IJ36" s="210"/>
      <c r="IK36" s="210"/>
      <c r="IL36" s="210"/>
      <c r="IM36" s="210"/>
      <c r="IN36" s="205"/>
      <c r="IO36" s="205"/>
      <c r="IP36" s="210"/>
      <c r="IQ36" s="210"/>
      <c r="IR36" s="210"/>
      <c r="IS36" s="210"/>
      <c r="IT36" s="210"/>
      <c r="IU36" s="210"/>
      <c r="IV36" s="210"/>
    </row>
    <row r="37" spans="1:256" x14ac:dyDescent="0.2">
      <c r="A37" s="216"/>
      <c r="B37" s="217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09"/>
      <c r="O37" s="209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05"/>
      <c r="AB37" s="205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05"/>
      <c r="AO37" s="205"/>
      <c r="AP37" s="210"/>
      <c r="AQ37" s="210"/>
      <c r="AR37" s="210"/>
      <c r="AS37" s="210"/>
      <c r="AT37" s="210"/>
      <c r="AU37" s="210"/>
      <c r="AV37" s="210"/>
      <c r="AW37" s="210"/>
      <c r="AX37" s="210"/>
      <c r="AY37" s="210"/>
      <c r="AZ37" s="210"/>
      <c r="BA37" s="205"/>
      <c r="BB37" s="205"/>
      <c r="BC37" s="210"/>
      <c r="BD37" s="210"/>
      <c r="BE37" s="210"/>
      <c r="BF37" s="210"/>
      <c r="BG37" s="210"/>
      <c r="BH37" s="210"/>
      <c r="BI37" s="210"/>
      <c r="BJ37" s="210"/>
      <c r="BK37" s="210"/>
      <c r="BL37" s="210"/>
      <c r="BM37" s="210"/>
      <c r="BN37" s="205"/>
      <c r="BO37" s="205"/>
      <c r="BP37" s="210"/>
      <c r="BQ37" s="210"/>
      <c r="BR37" s="210"/>
      <c r="BS37" s="210"/>
      <c r="BT37" s="210"/>
      <c r="BU37" s="210"/>
      <c r="BV37" s="210"/>
      <c r="BW37" s="210"/>
      <c r="BX37" s="210"/>
      <c r="BY37" s="210"/>
      <c r="BZ37" s="210"/>
      <c r="CA37" s="205"/>
      <c r="CB37" s="205"/>
      <c r="CC37" s="210"/>
      <c r="CD37" s="210"/>
      <c r="CE37" s="210"/>
      <c r="CF37" s="210"/>
      <c r="CG37" s="210"/>
      <c r="CH37" s="210"/>
      <c r="CI37" s="210"/>
      <c r="CJ37" s="210"/>
      <c r="CK37" s="210"/>
      <c r="CL37" s="210"/>
      <c r="CM37" s="210"/>
      <c r="CN37" s="205"/>
      <c r="CO37" s="205"/>
      <c r="CP37" s="210"/>
      <c r="CQ37" s="210"/>
      <c r="CR37" s="210"/>
      <c r="CS37" s="210"/>
      <c r="CT37" s="210"/>
      <c r="CU37" s="210"/>
      <c r="CV37" s="210"/>
      <c r="CW37" s="210"/>
      <c r="CX37" s="210"/>
      <c r="CY37" s="210"/>
      <c r="CZ37" s="210"/>
      <c r="DA37" s="205"/>
      <c r="DB37" s="205"/>
      <c r="DC37" s="210"/>
      <c r="DD37" s="210"/>
      <c r="DE37" s="210"/>
      <c r="DF37" s="210"/>
      <c r="DG37" s="210"/>
      <c r="DH37" s="210"/>
      <c r="DI37" s="210"/>
      <c r="DJ37" s="210"/>
      <c r="DK37" s="210"/>
      <c r="DL37" s="210"/>
      <c r="DM37" s="210"/>
      <c r="DN37" s="205"/>
      <c r="DO37" s="205"/>
      <c r="DP37" s="210"/>
      <c r="DQ37" s="210"/>
      <c r="DR37" s="210"/>
      <c r="DS37" s="210"/>
      <c r="DT37" s="210"/>
      <c r="DU37" s="210"/>
      <c r="DV37" s="210"/>
      <c r="DW37" s="210"/>
      <c r="DX37" s="210"/>
      <c r="DY37" s="210"/>
      <c r="DZ37" s="210"/>
      <c r="EA37" s="205"/>
      <c r="EB37" s="205"/>
      <c r="EC37" s="210"/>
      <c r="ED37" s="210"/>
      <c r="EE37" s="210"/>
      <c r="EF37" s="210"/>
      <c r="EG37" s="210"/>
      <c r="EH37" s="210"/>
      <c r="EI37" s="210"/>
      <c r="EJ37" s="210"/>
      <c r="EK37" s="210"/>
      <c r="EL37" s="210"/>
      <c r="EM37" s="210"/>
      <c r="EN37" s="205"/>
      <c r="EO37" s="205"/>
      <c r="EP37" s="210"/>
      <c r="EQ37" s="210"/>
      <c r="ER37" s="210"/>
      <c r="ES37" s="210"/>
      <c r="ET37" s="210"/>
      <c r="EU37" s="210"/>
      <c r="EV37" s="210"/>
      <c r="EW37" s="210"/>
      <c r="EX37" s="210"/>
      <c r="EY37" s="210"/>
      <c r="EZ37" s="210"/>
      <c r="FA37" s="205"/>
      <c r="FB37" s="205"/>
      <c r="FC37" s="210"/>
      <c r="FD37" s="210"/>
      <c r="FE37" s="210"/>
      <c r="FF37" s="210"/>
      <c r="FG37" s="210"/>
      <c r="FH37" s="210"/>
      <c r="FI37" s="210"/>
      <c r="FJ37" s="210"/>
      <c r="FK37" s="210"/>
      <c r="FL37" s="210"/>
      <c r="FM37" s="210"/>
      <c r="FN37" s="205"/>
      <c r="FO37" s="205"/>
      <c r="FP37" s="210"/>
      <c r="FQ37" s="210"/>
      <c r="FR37" s="210"/>
      <c r="FS37" s="210"/>
      <c r="FT37" s="210"/>
      <c r="FU37" s="210"/>
      <c r="FV37" s="210"/>
      <c r="FW37" s="210"/>
      <c r="FX37" s="210"/>
      <c r="FY37" s="210"/>
      <c r="FZ37" s="210"/>
      <c r="GA37" s="205"/>
      <c r="GB37" s="205"/>
      <c r="GC37" s="210"/>
      <c r="GD37" s="210"/>
      <c r="GE37" s="210"/>
      <c r="GF37" s="210"/>
      <c r="GG37" s="210"/>
      <c r="GH37" s="210"/>
      <c r="GI37" s="210"/>
      <c r="GJ37" s="210"/>
      <c r="GK37" s="210"/>
      <c r="GL37" s="210"/>
      <c r="GM37" s="210"/>
      <c r="GN37" s="205"/>
      <c r="GO37" s="205"/>
      <c r="GP37" s="210"/>
      <c r="GQ37" s="210"/>
      <c r="GR37" s="210"/>
      <c r="GS37" s="210"/>
      <c r="GT37" s="210"/>
      <c r="GU37" s="210"/>
      <c r="GV37" s="210"/>
      <c r="GW37" s="210"/>
      <c r="GX37" s="210"/>
      <c r="GY37" s="210"/>
      <c r="GZ37" s="210"/>
      <c r="HA37" s="205"/>
      <c r="HB37" s="205"/>
      <c r="HC37" s="210"/>
      <c r="HD37" s="210"/>
      <c r="HE37" s="210"/>
      <c r="HF37" s="210"/>
      <c r="HG37" s="210"/>
      <c r="HH37" s="210"/>
      <c r="HI37" s="210"/>
      <c r="HJ37" s="210"/>
      <c r="HK37" s="210"/>
      <c r="HL37" s="210"/>
      <c r="HM37" s="210"/>
      <c r="HN37" s="205"/>
      <c r="HO37" s="205"/>
      <c r="HP37" s="210"/>
      <c r="HQ37" s="210"/>
      <c r="HR37" s="210"/>
      <c r="HS37" s="210"/>
      <c r="HT37" s="210"/>
      <c r="HU37" s="210"/>
      <c r="HV37" s="210"/>
      <c r="HW37" s="210"/>
      <c r="HX37" s="210"/>
      <c r="HY37" s="210"/>
      <c r="HZ37" s="210"/>
      <c r="IA37" s="205"/>
      <c r="IB37" s="205"/>
      <c r="IC37" s="210"/>
      <c r="ID37" s="210"/>
      <c r="IE37" s="210"/>
      <c r="IF37" s="210"/>
      <c r="IG37" s="210"/>
      <c r="IH37" s="210"/>
      <c r="II37" s="210"/>
      <c r="IJ37" s="210"/>
      <c r="IK37" s="210"/>
      <c r="IL37" s="210"/>
      <c r="IM37" s="210"/>
      <c r="IN37" s="205"/>
      <c r="IO37" s="205"/>
      <c r="IP37" s="210"/>
      <c r="IQ37" s="210"/>
      <c r="IR37" s="210"/>
      <c r="IS37" s="210"/>
      <c r="IT37" s="210"/>
      <c r="IU37" s="210"/>
      <c r="IV37" s="210"/>
    </row>
    <row r="38" spans="1:256" x14ac:dyDescent="0.2">
      <c r="A38" s="216"/>
      <c r="B38" s="217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09"/>
      <c r="O38" s="209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5"/>
      <c r="AB38" s="205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5"/>
      <c r="AO38" s="205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5"/>
      <c r="BB38" s="205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5"/>
      <c r="BO38" s="205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5"/>
      <c r="CB38" s="205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5"/>
      <c r="CO38" s="205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5"/>
      <c r="DB38" s="205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5"/>
      <c r="DO38" s="205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5"/>
      <c r="EB38" s="205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5"/>
      <c r="EO38" s="205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5"/>
      <c r="FB38" s="205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5"/>
      <c r="FO38" s="205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5"/>
      <c r="GB38" s="205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5"/>
      <c r="GO38" s="205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5"/>
      <c r="HB38" s="205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5"/>
      <c r="HO38" s="205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5"/>
      <c r="IB38" s="205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5"/>
      <c r="IO38" s="205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6"/>
      <c r="B39" s="217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09"/>
      <c r="O39" s="209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5"/>
      <c r="AB39" s="205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5"/>
      <c r="AO39" s="205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5"/>
      <c r="BB39" s="205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5"/>
      <c r="BO39" s="205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5"/>
      <c r="CB39" s="205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5"/>
      <c r="CO39" s="205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5"/>
      <c r="DB39" s="205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5"/>
      <c r="DO39" s="205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5"/>
      <c r="EB39" s="205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5"/>
      <c r="EO39" s="205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5"/>
      <c r="FB39" s="205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5"/>
      <c r="FO39" s="205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5"/>
      <c r="GB39" s="205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5"/>
      <c r="GO39" s="205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5"/>
      <c r="HB39" s="205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5"/>
      <c r="HO39" s="205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5"/>
      <c r="IB39" s="205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5"/>
      <c r="IO39" s="205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6"/>
      <c r="B40" s="217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09"/>
      <c r="O40" s="209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5"/>
      <c r="AB40" s="205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5"/>
      <c r="AO40" s="205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5"/>
      <c r="BB40" s="205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5"/>
      <c r="BO40" s="205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5"/>
      <c r="CB40" s="205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5"/>
      <c r="CO40" s="205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5"/>
      <c r="DB40" s="205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5"/>
      <c r="DO40" s="205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5"/>
      <c r="EB40" s="205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5"/>
      <c r="EO40" s="205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5"/>
      <c r="FB40" s="205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5"/>
      <c r="FO40" s="205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5"/>
      <c r="GB40" s="205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5"/>
      <c r="GO40" s="205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5"/>
      <c r="HB40" s="205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5"/>
      <c r="HO40" s="205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5"/>
      <c r="IB40" s="205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5"/>
      <c r="IO40" s="205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6"/>
      <c r="B41" s="217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09"/>
      <c r="O41" s="209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05"/>
      <c r="AB41" s="205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05"/>
      <c r="AO41" s="205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05"/>
      <c r="BB41" s="205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05"/>
      <c r="BO41" s="205"/>
      <c r="BP41" s="210"/>
      <c r="BQ41" s="210"/>
      <c r="BR41" s="210"/>
      <c r="BS41" s="210"/>
      <c r="BT41" s="210"/>
      <c r="BU41" s="210"/>
      <c r="BV41" s="210"/>
      <c r="BW41" s="210"/>
      <c r="BX41" s="210"/>
      <c r="BY41" s="210"/>
      <c r="BZ41" s="210"/>
      <c r="CA41" s="205"/>
      <c r="CB41" s="205"/>
      <c r="CC41" s="210"/>
      <c r="CD41" s="210"/>
      <c r="CE41" s="210"/>
      <c r="CF41" s="210"/>
      <c r="CG41" s="210"/>
      <c r="CH41" s="210"/>
      <c r="CI41" s="210"/>
      <c r="CJ41" s="210"/>
      <c r="CK41" s="210"/>
      <c r="CL41" s="210"/>
      <c r="CM41" s="210"/>
      <c r="CN41" s="205"/>
      <c r="CO41" s="205"/>
      <c r="CP41" s="210"/>
      <c r="CQ41" s="210"/>
      <c r="CR41" s="210"/>
      <c r="CS41" s="210"/>
      <c r="CT41" s="210"/>
      <c r="CU41" s="210"/>
      <c r="CV41" s="210"/>
      <c r="CW41" s="210"/>
      <c r="CX41" s="210"/>
      <c r="CY41" s="210"/>
      <c r="CZ41" s="210"/>
      <c r="DA41" s="205"/>
      <c r="DB41" s="205"/>
      <c r="DC41" s="210"/>
      <c r="DD41" s="210"/>
      <c r="DE41" s="210"/>
      <c r="DF41" s="210"/>
      <c r="DG41" s="210"/>
      <c r="DH41" s="210"/>
      <c r="DI41" s="210"/>
      <c r="DJ41" s="210"/>
      <c r="DK41" s="210"/>
      <c r="DL41" s="210"/>
      <c r="DM41" s="210"/>
      <c r="DN41" s="205"/>
      <c r="DO41" s="205"/>
      <c r="DP41" s="210"/>
      <c r="DQ41" s="210"/>
      <c r="DR41" s="210"/>
      <c r="DS41" s="210"/>
      <c r="DT41" s="210"/>
      <c r="DU41" s="210"/>
      <c r="DV41" s="210"/>
      <c r="DW41" s="210"/>
      <c r="DX41" s="210"/>
      <c r="DY41" s="210"/>
      <c r="DZ41" s="210"/>
      <c r="EA41" s="205"/>
      <c r="EB41" s="205"/>
      <c r="EC41" s="210"/>
      <c r="ED41" s="210"/>
      <c r="EE41" s="210"/>
      <c r="EF41" s="210"/>
      <c r="EG41" s="210"/>
      <c r="EH41" s="210"/>
      <c r="EI41" s="210"/>
      <c r="EJ41" s="210"/>
      <c r="EK41" s="210"/>
      <c r="EL41" s="210"/>
      <c r="EM41" s="210"/>
      <c r="EN41" s="205"/>
      <c r="EO41" s="205"/>
      <c r="EP41" s="210"/>
      <c r="EQ41" s="210"/>
      <c r="ER41" s="210"/>
      <c r="ES41" s="210"/>
      <c r="ET41" s="210"/>
      <c r="EU41" s="210"/>
      <c r="EV41" s="210"/>
      <c r="EW41" s="210"/>
      <c r="EX41" s="210"/>
      <c r="EY41" s="210"/>
      <c r="EZ41" s="210"/>
      <c r="FA41" s="205"/>
      <c r="FB41" s="205"/>
      <c r="FC41" s="210"/>
      <c r="FD41" s="210"/>
      <c r="FE41" s="210"/>
      <c r="FF41" s="210"/>
      <c r="FG41" s="210"/>
      <c r="FH41" s="210"/>
      <c r="FI41" s="210"/>
      <c r="FJ41" s="210"/>
      <c r="FK41" s="210"/>
      <c r="FL41" s="210"/>
      <c r="FM41" s="210"/>
      <c r="FN41" s="205"/>
      <c r="FO41" s="205"/>
      <c r="FP41" s="210"/>
      <c r="FQ41" s="210"/>
      <c r="FR41" s="210"/>
      <c r="FS41" s="210"/>
      <c r="FT41" s="210"/>
      <c r="FU41" s="210"/>
      <c r="FV41" s="210"/>
      <c r="FW41" s="210"/>
      <c r="FX41" s="210"/>
      <c r="FY41" s="210"/>
      <c r="FZ41" s="210"/>
      <c r="GA41" s="205"/>
      <c r="GB41" s="205"/>
      <c r="GC41" s="210"/>
      <c r="GD41" s="210"/>
      <c r="GE41" s="210"/>
      <c r="GF41" s="210"/>
      <c r="GG41" s="210"/>
      <c r="GH41" s="210"/>
      <c r="GI41" s="210"/>
      <c r="GJ41" s="210"/>
      <c r="GK41" s="210"/>
      <c r="GL41" s="210"/>
      <c r="GM41" s="210"/>
      <c r="GN41" s="205"/>
      <c r="GO41" s="205"/>
      <c r="GP41" s="210"/>
      <c r="GQ41" s="210"/>
      <c r="GR41" s="210"/>
      <c r="GS41" s="210"/>
      <c r="GT41" s="210"/>
      <c r="GU41" s="210"/>
      <c r="GV41" s="210"/>
      <c r="GW41" s="210"/>
      <c r="GX41" s="210"/>
      <c r="GY41" s="210"/>
      <c r="GZ41" s="210"/>
      <c r="HA41" s="205"/>
      <c r="HB41" s="205"/>
      <c r="HC41" s="210"/>
      <c r="HD41" s="210"/>
      <c r="HE41" s="210"/>
      <c r="HF41" s="210"/>
      <c r="HG41" s="210"/>
      <c r="HH41" s="210"/>
      <c r="HI41" s="210"/>
      <c r="HJ41" s="210"/>
      <c r="HK41" s="210"/>
      <c r="HL41" s="210"/>
      <c r="HM41" s="210"/>
      <c r="HN41" s="205"/>
      <c r="HO41" s="205"/>
      <c r="HP41" s="210"/>
      <c r="HQ41" s="210"/>
      <c r="HR41" s="210"/>
      <c r="HS41" s="210"/>
      <c r="HT41" s="210"/>
      <c r="HU41" s="210"/>
      <c r="HV41" s="210"/>
      <c r="HW41" s="210"/>
      <c r="HX41" s="210"/>
      <c r="HY41" s="210"/>
      <c r="HZ41" s="210"/>
      <c r="IA41" s="205"/>
      <c r="IB41" s="205"/>
      <c r="IC41" s="210"/>
      <c r="ID41" s="210"/>
      <c r="IE41" s="210"/>
      <c r="IF41" s="210"/>
      <c r="IG41" s="210"/>
      <c r="IH41" s="210"/>
      <c r="II41" s="210"/>
      <c r="IJ41" s="210"/>
      <c r="IK41" s="210"/>
      <c r="IL41" s="210"/>
      <c r="IM41" s="210"/>
      <c r="IN41" s="205"/>
      <c r="IO41" s="205"/>
      <c r="IP41" s="210"/>
      <c r="IQ41" s="210"/>
      <c r="IR41" s="210"/>
      <c r="IS41" s="210"/>
      <c r="IT41" s="210"/>
      <c r="IU41" s="210"/>
      <c r="IV41" s="210"/>
    </row>
    <row r="42" spans="1:256" x14ac:dyDescent="0.2">
      <c r="A42" s="216"/>
      <c r="B42" s="217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09"/>
      <c r="O42" s="209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05"/>
      <c r="AB42" s="205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05"/>
      <c r="AO42" s="205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05"/>
      <c r="BB42" s="205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  <c r="BN42" s="205"/>
      <c r="BO42" s="205"/>
      <c r="BP42" s="210"/>
      <c r="BQ42" s="210"/>
      <c r="BR42" s="210"/>
      <c r="BS42" s="210"/>
      <c r="BT42" s="210"/>
      <c r="BU42" s="210"/>
      <c r="BV42" s="210"/>
      <c r="BW42" s="210"/>
      <c r="BX42" s="210"/>
      <c r="BY42" s="210"/>
      <c r="BZ42" s="210"/>
      <c r="CA42" s="205"/>
      <c r="CB42" s="205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05"/>
      <c r="CO42" s="205"/>
      <c r="CP42" s="210"/>
      <c r="CQ42" s="210"/>
      <c r="CR42" s="210"/>
      <c r="CS42" s="210"/>
      <c r="CT42" s="210"/>
      <c r="CU42" s="210"/>
      <c r="CV42" s="210"/>
      <c r="CW42" s="210"/>
      <c r="CX42" s="210"/>
      <c r="CY42" s="210"/>
      <c r="CZ42" s="210"/>
      <c r="DA42" s="205"/>
      <c r="DB42" s="205"/>
      <c r="DC42" s="210"/>
      <c r="DD42" s="210"/>
      <c r="DE42" s="210"/>
      <c r="DF42" s="210"/>
      <c r="DG42" s="210"/>
      <c r="DH42" s="210"/>
      <c r="DI42" s="210"/>
      <c r="DJ42" s="210"/>
      <c r="DK42" s="210"/>
      <c r="DL42" s="210"/>
      <c r="DM42" s="210"/>
      <c r="DN42" s="205"/>
      <c r="DO42" s="205"/>
      <c r="DP42" s="210"/>
      <c r="DQ42" s="210"/>
      <c r="DR42" s="210"/>
      <c r="DS42" s="210"/>
      <c r="DT42" s="210"/>
      <c r="DU42" s="210"/>
      <c r="DV42" s="210"/>
      <c r="DW42" s="210"/>
      <c r="DX42" s="210"/>
      <c r="DY42" s="210"/>
      <c r="DZ42" s="210"/>
      <c r="EA42" s="205"/>
      <c r="EB42" s="205"/>
      <c r="EC42" s="210"/>
      <c r="ED42" s="210"/>
      <c r="EE42" s="210"/>
      <c r="EF42" s="210"/>
      <c r="EG42" s="210"/>
      <c r="EH42" s="210"/>
      <c r="EI42" s="210"/>
      <c r="EJ42" s="210"/>
      <c r="EK42" s="210"/>
      <c r="EL42" s="210"/>
      <c r="EM42" s="210"/>
      <c r="EN42" s="205"/>
      <c r="EO42" s="205"/>
      <c r="EP42" s="210"/>
      <c r="EQ42" s="210"/>
      <c r="ER42" s="210"/>
      <c r="ES42" s="210"/>
      <c r="ET42" s="210"/>
      <c r="EU42" s="210"/>
      <c r="EV42" s="210"/>
      <c r="EW42" s="210"/>
      <c r="EX42" s="210"/>
      <c r="EY42" s="210"/>
      <c r="EZ42" s="210"/>
      <c r="FA42" s="205"/>
      <c r="FB42" s="205"/>
      <c r="FC42" s="210"/>
      <c r="FD42" s="210"/>
      <c r="FE42" s="210"/>
      <c r="FF42" s="210"/>
      <c r="FG42" s="210"/>
      <c r="FH42" s="210"/>
      <c r="FI42" s="210"/>
      <c r="FJ42" s="210"/>
      <c r="FK42" s="210"/>
      <c r="FL42" s="210"/>
      <c r="FM42" s="210"/>
      <c r="FN42" s="205"/>
      <c r="FO42" s="205"/>
      <c r="FP42" s="210"/>
      <c r="FQ42" s="210"/>
      <c r="FR42" s="210"/>
      <c r="FS42" s="210"/>
      <c r="FT42" s="210"/>
      <c r="FU42" s="210"/>
      <c r="FV42" s="210"/>
      <c r="FW42" s="210"/>
      <c r="FX42" s="210"/>
      <c r="FY42" s="210"/>
      <c r="FZ42" s="210"/>
      <c r="GA42" s="205"/>
      <c r="GB42" s="205"/>
      <c r="GC42" s="210"/>
      <c r="GD42" s="210"/>
      <c r="GE42" s="210"/>
      <c r="GF42" s="210"/>
      <c r="GG42" s="210"/>
      <c r="GH42" s="210"/>
      <c r="GI42" s="210"/>
      <c r="GJ42" s="210"/>
      <c r="GK42" s="210"/>
      <c r="GL42" s="210"/>
      <c r="GM42" s="210"/>
      <c r="GN42" s="205"/>
      <c r="GO42" s="205"/>
      <c r="GP42" s="210"/>
      <c r="GQ42" s="210"/>
      <c r="GR42" s="210"/>
      <c r="GS42" s="210"/>
      <c r="GT42" s="210"/>
      <c r="GU42" s="210"/>
      <c r="GV42" s="210"/>
      <c r="GW42" s="210"/>
      <c r="GX42" s="210"/>
      <c r="GY42" s="210"/>
      <c r="GZ42" s="210"/>
      <c r="HA42" s="205"/>
      <c r="HB42" s="205"/>
      <c r="HC42" s="210"/>
      <c r="HD42" s="210"/>
      <c r="HE42" s="210"/>
      <c r="HF42" s="210"/>
      <c r="HG42" s="210"/>
      <c r="HH42" s="210"/>
      <c r="HI42" s="210"/>
      <c r="HJ42" s="210"/>
      <c r="HK42" s="210"/>
      <c r="HL42" s="210"/>
      <c r="HM42" s="210"/>
      <c r="HN42" s="205"/>
      <c r="HO42" s="205"/>
      <c r="HP42" s="210"/>
      <c r="HQ42" s="210"/>
      <c r="HR42" s="210"/>
      <c r="HS42" s="210"/>
      <c r="HT42" s="210"/>
      <c r="HU42" s="210"/>
      <c r="HV42" s="210"/>
      <c r="HW42" s="210"/>
      <c r="HX42" s="210"/>
      <c r="HY42" s="210"/>
      <c r="HZ42" s="210"/>
      <c r="IA42" s="205"/>
      <c r="IB42" s="205"/>
      <c r="IC42" s="210"/>
      <c r="ID42" s="210"/>
      <c r="IE42" s="210"/>
      <c r="IF42" s="210"/>
      <c r="IG42" s="210"/>
      <c r="IH42" s="210"/>
      <c r="II42" s="210"/>
      <c r="IJ42" s="210"/>
      <c r="IK42" s="210"/>
      <c r="IL42" s="210"/>
      <c r="IM42" s="210"/>
      <c r="IN42" s="205"/>
      <c r="IO42" s="205"/>
      <c r="IP42" s="210"/>
      <c r="IQ42" s="210"/>
      <c r="IR42" s="210"/>
      <c r="IS42" s="210"/>
      <c r="IT42" s="210"/>
      <c r="IU42" s="210"/>
      <c r="IV42" s="210"/>
    </row>
    <row r="43" spans="1:256" x14ac:dyDescent="0.2">
      <c r="A43" s="216"/>
      <c r="B43" s="217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09"/>
      <c r="O43" s="209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05"/>
      <c r="AB43" s="205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05"/>
      <c r="AO43" s="205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05"/>
      <c r="BB43" s="205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  <c r="BN43" s="205"/>
      <c r="BO43" s="205"/>
      <c r="BP43" s="210"/>
      <c r="BQ43" s="210"/>
      <c r="BR43" s="210"/>
      <c r="BS43" s="210"/>
      <c r="BT43" s="210"/>
      <c r="BU43" s="210"/>
      <c r="BV43" s="210"/>
      <c r="BW43" s="210"/>
      <c r="BX43" s="210"/>
      <c r="BY43" s="210"/>
      <c r="BZ43" s="210"/>
      <c r="CA43" s="205"/>
      <c r="CB43" s="205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05"/>
      <c r="CO43" s="205"/>
      <c r="CP43" s="210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05"/>
      <c r="DB43" s="205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05"/>
      <c r="DO43" s="205"/>
      <c r="DP43" s="210"/>
      <c r="DQ43" s="210"/>
      <c r="DR43" s="210"/>
      <c r="DS43" s="210"/>
      <c r="DT43" s="210"/>
      <c r="DU43" s="210"/>
      <c r="DV43" s="210"/>
      <c r="DW43" s="210"/>
      <c r="DX43" s="210"/>
      <c r="DY43" s="210"/>
      <c r="DZ43" s="210"/>
      <c r="EA43" s="205"/>
      <c r="EB43" s="205"/>
      <c r="EC43" s="210"/>
      <c r="ED43" s="210"/>
      <c r="EE43" s="210"/>
      <c r="EF43" s="210"/>
      <c r="EG43" s="210"/>
      <c r="EH43" s="210"/>
      <c r="EI43" s="210"/>
      <c r="EJ43" s="210"/>
      <c r="EK43" s="210"/>
      <c r="EL43" s="210"/>
      <c r="EM43" s="210"/>
      <c r="EN43" s="205"/>
      <c r="EO43" s="205"/>
      <c r="EP43" s="210"/>
      <c r="EQ43" s="210"/>
      <c r="ER43" s="210"/>
      <c r="ES43" s="210"/>
      <c r="ET43" s="210"/>
      <c r="EU43" s="210"/>
      <c r="EV43" s="210"/>
      <c r="EW43" s="210"/>
      <c r="EX43" s="210"/>
      <c r="EY43" s="210"/>
      <c r="EZ43" s="210"/>
      <c r="FA43" s="205"/>
      <c r="FB43" s="205"/>
      <c r="FC43" s="210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05"/>
      <c r="FO43" s="205"/>
      <c r="FP43" s="210"/>
      <c r="FQ43" s="210"/>
      <c r="FR43" s="210"/>
      <c r="FS43" s="210"/>
      <c r="FT43" s="210"/>
      <c r="FU43" s="210"/>
      <c r="FV43" s="210"/>
      <c r="FW43" s="210"/>
      <c r="FX43" s="210"/>
      <c r="FY43" s="210"/>
      <c r="FZ43" s="210"/>
      <c r="GA43" s="205"/>
      <c r="GB43" s="205"/>
      <c r="GC43" s="210"/>
      <c r="GD43" s="210"/>
      <c r="GE43" s="210"/>
      <c r="GF43" s="210"/>
      <c r="GG43" s="210"/>
      <c r="GH43" s="210"/>
      <c r="GI43" s="210"/>
      <c r="GJ43" s="210"/>
      <c r="GK43" s="210"/>
      <c r="GL43" s="210"/>
      <c r="GM43" s="210"/>
      <c r="GN43" s="205"/>
      <c r="GO43" s="205"/>
      <c r="GP43" s="210"/>
      <c r="GQ43" s="210"/>
      <c r="GR43" s="210"/>
      <c r="GS43" s="210"/>
      <c r="GT43" s="210"/>
      <c r="GU43" s="210"/>
      <c r="GV43" s="210"/>
      <c r="GW43" s="210"/>
      <c r="GX43" s="210"/>
      <c r="GY43" s="210"/>
      <c r="GZ43" s="210"/>
      <c r="HA43" s="205"/>
      <c r="HB43" s="205"/>
      <c r="HC43" s="210"/>
      <c r="HD43" s="210"/>
      <c r="HE43" s="210"/>
      <c r="HF43" s="210"/>
      <c r="HG43" s="210"/>
      <c r="HH43" s="210"/>
      <c r="HI43" s="210"/>
      <c r="HJ43" s="210"/>
      <c r="HK43" s="210"/>
      <c r="HL43" s="210"/>
      <c r="HM43" s="210"/>
      <c r="HN43" s="205"/>
      <c r="HO43" s="205"/>
      <c r="HP43" s="210"/>
      <c r="HQ43" s="210"/>
      <c r="HR43" s="210"/>
      <c r="HS43" s="210"/>
      <c r="HT43" s="210"/>
      <c r="HU43" s="210"/>
      <c r="HV43" s="210"/>
      <c r="HW43" s="210"/>
      <c r="HX43" s="210"/>
      <c r="HY43" s="210"/>
      <c r="HZ43" s="210"/>
      <c r="IA43" s="205"/>
      <c r="IB43" s="205"/>
      <c r="IC43" s="210"/>
      <c r="ID43" s="210"/>
      <c r="IE43" s="210"/>
      <c r="IF43" s="210"/>
      <c r="IG43" s="210"/>
      <c r="IH43" s="210"/>
      <c r="II43" s="210"/>
      <c r="IJ43" s="210"/>
      <c r="IK43" s="210"/>
      <c r="IL43" s="210"/>
      <c r="IM43" s="210"/>
      <c r="IN43" s="205"/>
      <c r="IO43" s="205"/>
      <c r="IP43" s="210"/>
      <c r="IQ43" s="210"/>
      <c r="IR43" s="210"/>
      <c r="IS43" s="210"/>
      <c r="IT43" s="210"/>
      <c r="IU43" s="210"/>
      <c r="IV43" s="210"/>
    </row>
    <row r="44" spans="1:256" x14ac:dyDescent="0.2">
      <c r="A44" s="216"/>
      <c r="B44" s="217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09"/>
      <c r="O44" s="209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05"/>
      <c r="AB44" s="205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05"/>
      <c r="AO44" s="205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05"/>
      <c r="BB44" s="205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  <c r="BN44" s="205"/>
      <c r="BO44" s="205"/>
      <c r="BP44" s="210"/>
      <c r="BQ44" s="210"/>
      <c r="BR44" s="210"/>
      <c r="BS44" s="210"/>
      <c r="BT44" s="210"/>
      <c r="BU44" s="210"/>
      <c r="BV44" s="210"/>
      <c r="BW44" s="210"/>
      <c r="BX44" s="210"/>
      <c r="BY44" s="210"/>
      <c r="BZ44" s="210"/>
      <c r="CA44" s="205"/>
      <c r="CB44" s="205"/>
      <c r="CC44" s="210"/>
      <c r="CD44" s="210"/>
      <c r="CE44" s="210"/>
      <c r="CF44" s="210"/>
      <c r="CG44" s="210"/>
      <c r="CH44" s="210"/>
      <c r="CI44" s="210"/>
      <c r="CJ44" s="210"/>
      <c r="CK44" s="210"/>
      <c r="CL44" s="210"/>
      <c r="CM44" s="210"/>
      <c r="CN44" s="205"/>
      <c r="CO44" s="205"/>
      <c r="CP44" s="210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05"/>
      <c r="DB44" s="205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05"/>
      <c r="DO44" s="205"/>
      <c r="DP44" s="210"/>
      <c r="DQ44" s="210"/>
      <c r="DR44" s="210"/>
      <c r="DS44" s="210"/>
      <c r="DT44" s="210"/>
      <c r="DU44" s="210"/>
      <c r="DV44" s="210"/>
      <c r="DW44" s="210"/>
      <c r="DX44" s="210"/>
      <c r="DY44" s="210"/>
      <c r="DZ44" s="210"/>
      <c r="EA44" s="205"/>
      <c r="EB44" s="205"/>
      <c r="EC44" s="210"/>
      <c r="ED44" s="210"/>
      <c r="EE44" s="210"/>
      <c r="EF44" s="210"/>
      <c r="EG44" s="210"/>
      <c r="EH44" s="210"/>
      <c r="EI44" s="210"/>
      <c r="EJ44" s="210"/>
      <c r="EK44" s="210"/>
      <c r="EL44" s="210"/>
      <c r="EM44" s="210"/>
      <c r="EN44" s="205"/>
      <c r="EO44" s="205"/>
      <c r="EP44" s="210"/>
      <c r="EQ44" s="210"/>
      <c r="ER44" s="210"/>
      <c r="ES44" s="210"/>
      <c r="ET44" s="210"/>
      <c r="EU44" s="210"/>
      <c r="EV44" s="210"/>
      <c r="EW44" s="210"/>
      <c r="EX44" s="210"/>
      <c r="EY44" s="210"/>
      <c r="EZ44" s="210"/>
      <c r="FA44" s="205"/>
      <c r="FB44" s="205"/>
      <c r="FC44" s="210"/>
      <c r="FD44" s="210"/>
      <c r="FE44" s="210"/>
      <c r="FF44" s="210"/>
      <c r="FG44" s="210"/>
      <c r="FH44" s="210"/>
      <c r="FI44" s="210"/>
      <c r="FJ44" s="210"/>
      <c r="FK44" s="210"/>
      <c r="FL44" s="210"/>
      <c r="FM44" s="210"/>
      <c r="FN44" s="205"/>
      <c r="FO44" s="205"/>
      <c r="FP44" s="210"/>
      <c r="FQ44" s="210"/>
      <c r="FR44" s="210"/>
      <c r="FS44" s="210"/>
      <c r="FT44" s="210"/>
      <c r="FU44" s="210"/>
      <c r="FV44" s="210"/>
      <c r="FW44" s="210"/>
      <c r="FX44" s="210"/>
      <c r="FY44" s="210"/>
      <c r="FZ44" s="210"/>
      <c r="GA44" s="205"/>
      <c r="GB44" s="205"/>
      <c r="GC44" s="210"/>
      <c r="GD44" s="210"/>
      <c r="GE44" s="210"/>
      <c r="GF44" s="210"/>
      <c r="GG44" s="210"/>
      <c r="GH44" s="210"/>
      <c r="GI44" s="210"/>
      <c r="GJ44" s="210"/>
      <c r="GK44" s="210"/>
      <c r="GL44" s="210"/>
      <c r="GM44" s="210"/>
      <c r="GN44" s="205"/>
      <c r="GO44" s="205"/>
      <c r="GP44" s="210"/>
      <c r="GQ44" s="210"/>
      <c r="GR44" s="210"/>
      <c r="GS44" s="210"/>
      <c r="GT44" s="210"/>
      <c r="GU44" s="210"/>
      <c r="GV44" s="210"/>
      <c r="GW44" s="210"/>
      <c r="GX44" s="210"/>
      <c r="GY44" s="210"/>
      <c r="GZ44" s="210"/>
      <c r="HA44" s="205"/>
      <c r="HB44" s="205"/>
      <c r="HC44" s="210"/>
      <c r="HD44" s="210"/>
      <c r="HE44" s="210"/>
      <c r="HF44" s="210"/>
      <c r="HG44" s="210"/>
      <c r="HH44" s="210"/>
      <c r="HI44" s="210"/>
      <c r="HJ44" s="210"/>
      <c r="HK44" s="210"/>
      <c r="HL44" s="210"/>
      <c r="HM44" s="210"/>
      <c r="HN44" s="205"/>
      <c r="HO44" s="205"/>
      <c r="HP44" s="210"/>
      <c r="HQ44" s="210"/>
      <c r="HR44" s="210"/>
      <c r="HS44" s="210"/>
      <c r="HT44" s="210"/>
      <c r="HU44" s="210"/>
      <c r="HV44" s="210"/>
      <c r="HW44" s="210"/>
      <c r="HX44" s="210"/>
      <c r="HY44" s="210"/>
      <c r="HZ44" s="210"/>
      <c r="IA44" s="205"/>
      <c r="IB44" s="205"/>
      <c r="IC44" s="210"/>
      <c r="ID44" s="210"/>
      <c r="IE44" s="210"/>
      <c r="IF44" s="210"/>
      <c r="IG44" s="210"/>
      <c r="IH44" s="210"/>
      <c r="II44" s="210"/>
      <c r="IJ44" s="210"/>
      <c r="IK44" s="210"/>
      <c r="IL44" s="210"/>
      <c r="IM44" s="210"/>
      <c r="IN44" s="205"/>
      <c r="IO44" s="205"/>
      <c r="IP44" s="210"/>
      <c r="IQ44" s="210"/>
      <c r="IR44" s="210"/>
      <c r="IS44" s="210"/>
      <c r="IT44" s="210"/>
      <c r="IU44" s="210"/>
      <c r="IV44" s="210"/>
    </row>
    <row r="45" spans="1:256" x14ac:dyDescent="0.2">
      <c r="A45" s="216"/>
      <c r="B45" s="217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09"/>
      <c r="O45" s="209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05"/>
      <c r="AB45" s="205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05"/>
      <c r="AO45" s="205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05"/>
      <c r="BB45" s="205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05"/>
      <c r="BO45" s="205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05"/>
      <c r="CB45" s="205"/>
      <c r="CC45" s="210"/>
      <c r="CD45" s="210"/>
      <c r="CE45" s="210"/>
      <c r="CF45" s="210"/>
      <c r="CG45" s="210"/>
      <c r="CH45" s="210"/>
      <c r="CI45" s="210"/>
      <c r="CJ45" s="210"/>
      <c r="CK45" s="210"/>
      <c r="CL45" s="210"/>
      <c r="CM45" s="210"/>
      <c r="CN45" s="205"/>
      <c r="CO45" s="205"/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05"/>
      <c r="DB45" s="205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05"/>
      <c r="DO45" s="205"/>
      <c r="DP45" s="210"/>
      <c r="DQ45" s="210"/>
      <c r="DR45" s="210"/>
      <c r="DS45" s="210"/>
      <c r="DT45" s="210"/>
      <c r="DU45" s="210"/>
      <c r="DV45" s="210"/>
      <c r="DW45" s="210"/>
      <c r="DX45" s="210"/>
      <c r="DY45" s="210"/>
      <c r="DZ45" s="210"/>
      <c r="EA45" s="205"/>
      <c r="EB45" s="205"/>
      <c r="EC45" s="210"/>
      <c r="ED45" s="210"/>
      <c r="EE45" s="210"/>
      <c r="EF45" s="210"/>
      <c r="EG45" s="210"/>
      <c r="EH45" s="210"/>
      <c r="EI45" s="210"/>
      <c r="EJ45" s="210"/>
      <c r="EK45" s="210"/>
      <c r="EL45" s="210"/>
      <c r="EM45" s="210"/>
      <c r="EN45" s="205"/>
      <c r="EO45" s="205"/>
      <c r="EP45" s="210"/>
      <c r="EQ45" s="210"/>
      <c r="ER45" s="210"/>
      <c r="ES45" s="210"/>
      <c r="ET45" s="210"/>
      <c r="EU45" s="210"/>
      <c r="EV45" s="210"/>
      <c r="EW45" s="210"/>
      <c r="EX45" s="210"/>
      <c r="EY45" s="210"/>
      <c r="EZ45" s="210"/>
      <c r="FA45" s="205"/>
      <c r="FB45" s="205"/>
      <c r="FC45" s="210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05"/>
      <c r="FO45" s="205"/>
      <c r="FP45" s="210"/>
      <c r="FQ45" s="210"/>
      <c r="FR45" s="210"/>
      <c r="FS45" s="210"/>
      <c r="FT45" s="210"/>
      <c r="FU45" s="210"/>
      <c r="FV45" s="210"/>
      <c r="FW45" s="210"/>
      <c r="FX45" s="210"/>
      <c r="FY45" s="210"/>
      <c r="FZ45" s="210"/>
      <c r="GA45" s="205"/>
      <c r="GB45" s="205"/>
      <c r="GC45" s="210"/>
      <c r="GD45" s="210"/>
      <c r="GE45" s="210"/>
      <c r="GF45" s="210"/>
      <c r="GG45" s="210"/>
      <c r="GH45" s="210"/>
      <c r="GI45" s="210"/>
      <c r="GJ45" s="210"/>
      <c r="GK45" s="210"/>
      <c r="GL45" s="210"/>
      <c r="GM45" s="210"/>
      <c r="GN45" s="205"/>
      <c r="GO45" s="205"/>
      <c r="GP45" s="210"/>
      <c r="GQ45" s="210"/>
      <c r="GR45" s="210"/>
      <c r="GS45" s="210"/>
      <c r="GT45" s="210"/>
      <c r="GU45" s="210"/>
      <c r="GV45" s="210"/>
      <c r="GW45" s="210"/>
      <c r="GX45" s="210"/>
      <c r="GY45" s="210"/>
      <c r="GZ45" s="210"/>
      <c r="HA45" s="205"/>
      <c r="HB45" s="205"/>
      <c r="HC45" s="210"/>
      <c r="HD45" s="210"/>
      <c r="HE45" s="210"/>
      <c r="HF45" s="210"/>
      <c r="HG45" s="210"/>
      <c r="HH45" s="210"/>
      <c r="HI45" s="210"/>
      <c r="HJ45" s="210"/>
      <c r="HK45" s="210"/>
      <c r="HL45" s="210"/>
      <c r="HM45" s="210"/>
      <c r="HN45" s="205"/>
      <c r="HO45" s="205"/>
      <c r="HP45" s="210"/>
      <c r="HQ45" s="210"/>
      <c r="HR45" s="210"/>
      <c r="HS45" s="210"/>
      <c r="HT45" s="210"/>
      <c r="HU45" s="210"/>
      <c r="HV45" s="210"/>
      <c r="HW45" s="210"/>
      <c r="HX45" s="210"/>
      <c r="HY45" s="210"/>
      <c r="HZ45" s="210"/>
      <c r="IA45" s="205"/>
      <c r="IB45" s="205"/>
      <c r="IC45" s="210"/>
      <c r="ID45" s="210"/>
      <c r="IE45" s="210"/>
      <c r="IF45" s="210"/>
      <c r="IG45" s="210"/>
      <c r="IH45" s="210"/>
      <c r="II45" s="210"/>
      <c r="IJ45" s="210"/>
      <c r="IK45" s="210"/>
      <c r="IL45" s="210"/>
      <c r="IM45" s="210"/>
      <c r="IN45" s="205"/>
      <c r="IO45" s="205"/>
      <c r="IP45" s="210"/>
      <c r="IQ45" s="210"/>
      <c r="IR45" s="210"/>
      <c r="IS45" s="210"/>
      <c r="IT45" s="210"/>
      <c r="IU45" s="210"/>
      <c r="IV45" s="210"/>
    </row>
    <row r="46" spans="1:256" x14ac:dyDescent="0.2">
      <c r="A46" s="216"/>
      <c r="B46" s="217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09"/>
      <c r="O46" s="209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05"/>
      <c r="AB46" s="205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05"/>
      <c r="AO46" s="205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05"/>
      <c r="BB46" s="205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0"/>
      <c r="BN46" s="205"/>
      <c r="BO46" s="205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05"/>
      <c r="CB46" s="205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05"/>
      <c r="CO46" s="205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05"/>
      <c r="DB46" s="205"/>
      <c r="DC46" s="210"/>
      <c r="DD46" s="210"/>
      <c r="DE46" s="210"/>
      <c r="DF46" s="210"/>
      <c r="DG46" s="210"/>
      <c r="DH46" s="210"/>
      <c r="DI46" s="210"/>
      <c r="DJ46" s="210"/>
      <c r="DK46" s="210"/>
      <c r="DL46" s="210"/>
      <c r="DM46" s="210"/>
      <c r="DN46" s="205"/>
      <c r="DO46" s="205"/>
      <c r="DP46" s="210"/>
      <c r="DQ46" s="210"/>
      <c r="DR46" s="210"/>
      <c r="DS46" s="210"/>
      <c r="DT46" s="210"/>
      <c r="DU46" s="210"/>
      <c r="DV46" s="210"/>
      <c r="DW46" s="210"/>
      <c r="DX46" s="210"/>
      <c r="DY46" s="210"/>
      <c r="DZ46" s="210"/>
      <c r="EA46" s="205"/>
      <c r="EB46" s="205"/>
      <c r="EC46" s="210"/>
      <c r="ED46" s="210"/>
      <c r="EE46" s="210"/>
      <c r="EF46" s="210"/>
      <c r="EG46" s="210"/>
      <c r="EH46" s="210"/>
      <c r="EI46" s="210"/>
      <c r="EJ46" s="210"/>
      <c r="EK46" s="210"/>
      <c r="EL46" s="210"/>
      <c r="EM46" s="210"/>
      <c r="EN46" s="205"/>
      <c r="EO46" s="205"/>
      <c r="EP46" s="210"/>
      <c r="EQ46" s="210"/>
      <c r="ER46" s="210"/>
      <c r="ES46" s="210"/>
      <c r="ET46" s="210"/>
      <c r="EU46" s="210"/>
      <c r="EV46" s="210"/>
      <c r="EW46" s="210"/>
      <c r="EX46" s="210"/>
      <c r="EY46" s="210"/>
      <c r="EZ46" s="210"/>
      <c r="FA46" s="205"/>
      <c r="FB46" s="205"/>
      <c r="FC46" s="210"/>
      <c r="FD46" s="210"/>
      <c r="FE46" s="210"/>
      <c r="FF46" s="210"/>
      <c r="FG46" s="210"/>
      <c r="FH46" s="210"/>
      <c r="FI46" s="210"/>
      <c r="FJ46" s="210"/>
      <c r="FK46" s="210"/>
      <c r="FL46" s="210"/>
      <c r="FM46" s="210"/>
      <c r="FN46" s="205"/>
      <c r="FO46" s="205"/>
      <c r="FP46" s="210"/>
      <c r="FQ46" s="210"/>
      <c r="FR46" s="210"/>
      <c r="FS46" s="210"/>
      <c r="FT46" s="210"/>
      <c r="FU46" s="210"/>
      <c r="FV46" s="210"/>
      <c r="FW46" s="210"/>
      <c r="FX46" s="210"/>
      <c r="FY46" s="210"/>
      <c r="FZ46" s="210"/>
      <c r="GA46" s="205"/>
      <c r="GB46" s="205"/>
      <c r="GC46" s="210"/>
      <c r="GD46" s="210"/>
      <c r="GE46" s="210"/>
      <c r="GF46" s="210"/>
      <c r="GG46" s="210"/>
      <c r="GH46" s="210"/>
      <c r="GI46" s="210"/>
      <c r="GJ46" s="210"/>
      <c r="GK46" s="210"/>
      <c r="GL46" s="210"/>
      <c r="GM46" s="210"/>
      <c r="GN46" s="205"/>
      <c r="GO46" s="205"/>
      <c r="GP46" s="210"/>
      <c r="GQ46" s="210"/>
      <c r="GR46" s="210"/>
      <c r="GS46" s="210"/>
      <c r="GT46" s="210"/>
      <c r="GU46" s="210"/>
      <c r="GV46" s="210"/>
      <c r="GW46" s="210"/>
      <c r="GX46" s="210"/>
      <c r="GY46" s="210"/>
      <c r="GZ46" s="210"/>
      <c r="HA46" s="205"/>
      <c r="HB46" s="205"/>
      <c r="HC46" s="210"/>
      <c r="HD46" s="210"/>
      <c r="HE46" s="210"/>
      <c r="HF46" s="210"/>
      <c r="HG46" s="210"/>
      <c r="HH46" s="210"/>
      <c r="HI46" s="210"/>
      <c r="HJ46" s="210"/>
      <c r="HK46" s="210"/>
      <c r="HL46" s="210"/>
      <c r="HM46" s="210"/>
      <c r="HN46" s="205"/>
      <c r="HO46" s="205"/>
      <c r="HP46" s="210"/>
      <c r="HQ46" s="210"/>
      <c r="HR46" s="210"/>
      <c r="HS46" s="210"/>
      <c r="HT46" s="210"/>
      <c r="HU46" s="210"/>
      <c r="HV46" s="210"/>
      <c r="HW46" s="210"/>
      <c r="HX46" s="210"/>
      <c r="HY46" s="210"/>
      <c r="HZ46" s="210"/>
      <c r="IA46" s="205"/>
      <c r="IB46" s="205"/>
      <c r="IC46" s="210"/>
      <c r="ID46" s="210"/>
      <c r="IE46" s="210"/>
      <c r="IF46" s="210"/>
      <c r="IG46" s="210"/>
      <c r="IH46" s="210"/>
      <c r="II46" s="210"/>
      <c r="IJ46" s="210"/>
      <c r="IK46" s="210"/>
      <c r="IL46" s="210"/>
      <c r="IM46" s="210"/>
      <c r="IN46" s="205"/>
      <c r="IO46" s="205"/>
      <c r="IP46" s="210"/>
      <c r="IQ46" s="210"/>
      <c r="IR46" s="210"/>
      <c r="IS46" s="210"/>
      <c r="IT46" s="210"/>
      <c r="IU46" s="210"/>
      <c r="IV46" s="210"/>
    </row>
    <row r="47" spans="1:256" x14ac:dyDescent="0.2">
      <c r="A47" s="216"/>
      <c r="B47" s="217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09"/>
      <c r="O47" s="209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05"/>
      <c r="AB47" s="205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05"/>
      <c r="AO47" s="205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0"/>
      <c r="BA47" s="205"/>
      <c r="BB47" s="205"/>
      <c r="BC47" s="210"/>
      <c r="BD47" s="210"/>
      <c r="BE47" s="210"/>
      <c r="BF47" s="210"/>
      <c r="BG47" s="210"/>
      <c r="BH47" s="210"/>
      <c r="BI47" s="210"/>
      <c r="BJ47" s="210"/>
      <c r="BK47" s="210"/>
      <c r="BL47" s="210"/>
      <c r="BM47" s="210"/>
      <c r="BN47" s="205"/>
      <c r="BO47" s="205"/>
      <c r="BP47" s="210"/>
      <c r="BQ47" s="210"/>
      <c r="BR47" s="210"/>
      <c r="BS47" s="210"/>
      <c r="BT47" s="210"/>
      <c r="BU47" s="210"/>
      <c r="BV47" s="210"/>
      <c r="BW47" s="210"/>
      <c r="BX47" s="210"/>
      <c r="BY47" s="210"/>
      <c r="BZ47" s="210"/>
      <c r="CA47" s="205"/>
      <c r="CB47" s="205"/>
      <c r="CC47" s="210"/>
      <c r="CD47" s="210"/>
      <c r="CE47" s="210"/>
      <c r="CF47" s="210"/>
      <c r="CG47" s="210"/>
      <c r="CH47" s="210"/>
      <c r="CI47" s="210"/>
      <c r="CJ47" s="210"/>
      <c r="CK47" s="210"/>
      <c r="CL47" s="210"/>
      <c r="CM47" s="210"/>
      <c r="CN47" s="205"/>
      <c r="CO47" s="205"/>
      <c r="CP47" s="210"/>
      <c r="CQ47" s="210"/>
      <c r="CR47" s="210"/>
      <c r="CS47" s="210"/>
      <c r="CT47" s="210"/>
      <c r="CU47" s="210"/>
      <c r="CV47" s="210"/>
      <c r="CW47" s="210"/>
      <c r="CX47" s="210"/>
      <c r="CY47" s="210"/>
      <c r="CZ47" s="210"/>
      <c r="DA47" s="205"/>
      <c r="DB47" s="205"/>
      <c r="DC47" s="210"/>
      <c r="DD47" s="210"/>
      <c r="DE47" s="210"/>
      <c r="DF47" s="210"/>
      <c r="DG47" s="210"/>
      <c r="DH47" s="210"/>
      <c r="DI47" s="210"/>
      <c r="DJ47" s="210"/>
      <c r="DK47" s="210"/>
      <c r="DL47" s="210"/>
      <c r="DM47" s="210"/>
      <c r="DN47" s="205"/>
      <c r="DO47" s="205"/>
      <c r="DP47" s="210"/>
      <c r="DQ47" s="210"/>
      <c r="DR47" s="210"/>
      <c r="DS47" s="210"/>
      <c r="DT47" s="210"/>
      <c r="DU47" s="210"/>
      <c r="DV47" s="210"/>
      <c r="DW47" s="210"/>
      <c r="DX47" s="210"/>
      <c r="DY47" s="210"/>
      <c r="DZ47" s="210"/>
      <c r="EA47" s="205"/>
      <c r="EB47" s="205"/>
      <c r="EC47" s="210"/>
      <c r="ED47" s="210"/>
      <c r="EE47" s="210"/>
      <c r="EF47" s="210"/>
      <c r="EG47" s="210"/>
      <c r="EH47" s="210"/>
      <c r="EI47" s="210"/>
      <c r="EJ47" s="210"/>
      <c r="EK47" s="210"/>
      <c r="EL47" s="210"/>
      <c r="EM47" s="210"/>
      <c r="EN47" s="205"/>
      <c r="EO47" s="205"/>
      <c r="EP47" s="210"/>
      <c r="EQ47" s="210"/>
      <c r="ER47" s="210"/>
      <c r="ES47" s="210"/>
      <c r="ET47" s="210"/>
      <c r="EU47" s="210"/>
      <c r="EV47" s="210"/>
      <c r="EW47" s="210"/>
      <c r="EX47" s="210"/>
      <c r="EY47" s="210"/>
      <c r="EZ47" s="210"/>
      <c r="FA47" s="205"/>
      <c r="FB47" s="205"/>
      <c r="FC47" s="210"/>
      <c r="FD47" s="210"/>
      <c r="FE47" s="210"/>
      <c r="FF47" s="210"/>
      <c r="FG47" s="210"/>
      <c r="FH47" s="210"/>
      <c r="FI47" s="210"/>
      <c r="FJ47" s="210"/>
      <c r="FK47" s="210"/>
      <c r="FL47" s="210"/>
      <c r="FM47" s="210"/>
      <c r="FN47" s="205"/>
      <c r="FO47" s="205"/>
      <c r="FP47" s="210"/>
      <c r="FQ47" s="210"/>
      <c r="FR47" s="210"/>
      <c r="FS47" s="210"/>
      <c r="FT47" s="210"/>
      <c r="FU47" s="210"/>
      <c r="FV47" s="210"/>
      <c r="FW47" s="210"/>
      <c r="FX47" s="210"/>
      <c r="FY47" s="210"/>
      <c r="FZ47" s="210"/>
      <c r="GA47" s="205"/>
      <c r="GB47" s="205"/>
      <c r="GC47" s="210"/>
      <c r="GD47" s="210"/>
      <c r="GE47" s="210"/>
      <c r="GF47" s="210"/>
      <c r="GG47" s="210"/>
      <c r="GH47" s="210"/>
      <c r="GI47" s="210"/>
      <c r="GJ47" s="210"/>
      <c r="GK47" s="210"/>
      <c r="GL47" s="210"/>
      <c r="GM47" s="210"/>
      <c r="GN47" s="205"/>
      <c r="GO47" s="205"/>
      <c r="GP47" s="210"/>
      <c r="GQ47" s="210"/>
      <c r="GR47" s="210"/>
      <c r="GS47" s="210"/>
      <c r="GT47" s="210"/>
      <c r="GU47" s="210"/>
      <c r="GV47" s="210"/>
      <c r="GW47" s="210"/>
      <c r="GX47" s="210"/>
      <c r="GY47" s="210"/>
      <c r="GZ47" s="210"/>
      <c r="HA47" s="205"/>
      <c r="HB47" s="205"/>
      <c r="HC47" s="210"/>
      <c r="HD47" s="210"/>
      <c r="HE47" s="210"/>
      <c r="HF47" s="210"/>
      <c r="HG47" s="210"/>
      <c r="HH47" s="210"/>
      <c r="HI47" s="210"/>
      <c r="HJ47" s="210"/>
      <c r="HK47" s="210"/>
      <c r="HL47" s="210"/>
      <c r="HM47" s="210"/>
      <c r="HN47" s="205"/>
      <c r="HO47" s="205"/>
      <c r="HP47" s="210"/>
      <c r="HQ47" s="210"/>
      <c r="HR47" s="210"/>
      <c r="HS47" s="210"/>
      <c r="HT47" s="210"/>
      <c r="HU47" s="210"/>
      <c r="HV47" s="210"/>
      <c r="HW47" s="210"/>
      <c r="HX47" s="210"/>
      <c r="HY47" s="210"/>
      <c r="HZ47" s="210"/>
      <c r="IA47" s="205"/>
      <c r="IB47" s="205"/>
      <c r="IC47" s="210"/>
      <c r="ID47" s="210"/>
      <c r="IE47" s="210"/>
      <c r="IF47" s="210"/>
      <c r="IG47" s="210"/>
      <c r="IH47" s="210"/>
      <c r="II47" s="210"/>
      <c r="IJ47" s="210"/>
      <c r="IK47" s="210"/>
      <c r="IL47" s="210"/>
      <c r="IM47" s="210"/>
      <c r="IN47" s="205"/>
      <c r="IO47" s="205"/>
      <c r="IP47" s="210"/>
      <c r="IQ47" s="210"/>
      <c r="IR47" s="210"/>
      <c r="IS47" s="210"/>
      <c r="IT47" s="210"/>
      <c r="IU47" s="210"/>
      <c r="IV47" s="210"/>
    </row>
    <row r="48" spans="1:256" x14ac:dyDescent="0.2">
      <c r="A48" s="216"/>
      <c r="B48" s="217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09"/>
      <c r="O48" s="209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  <c r="AA48" s="205"/>
      <c r="AB48" s="205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05"/>
      <c r="AO48" s="205"/>
      <c r="AP48" s="210"/>
      <c r="AQ48" s="210"/>
      <c r="AR48" s="210"/>
      <c r="AS48" s="210"/>
      <c r="AT48" s="210"/>
      <c r="AU48" s="210"/>
      <c r="AV48" s="210"/>
      <c r="AW48" s="210"/>
      <c r="AX48" s="210"/>
      <c r="AY48" s="210"/>
      <c r="AZ48" s="210"/>
      <c r="BA48" s="205"/>
      <c r="BB48" s="205"/>
      <c r="BC48" s="210"/>
      <c r="BD48" s="210"/>
      <c r="BE48" s="210"/>
      <c r="BF48" s="210"/>
      <c r="BG48" s="210"/>
      <c r="BH48" s="210"/>
      <c r="BI48" s="210"/>
      <c r="BJ48" s="210"/>
      <c r="BK48" s="210"/>
      <c r="BL48" s="210"/>
      <c r="BM48" s="210"/>
      <c r="BN48" s="205"/>
      <c r="BO48" s="205"/>
      <c r="BP48" s="210"/>
      <c r="BQ48" s="210"/>
      <c r="BR48" s="210"/>
      <c r="BS48" s="210"/>
      <c r="BT48" s="210"/>
      <c r="BU48" s="210"/>
      <c r="BV48" s="210"/>
      <c r="BW48" s="210"/>
      <c r="BX48" s="210"/>
      <c r="BY48" s="210"/>
      <c r="BZ48" s="210"/>
      <c r="CA48" s="205"/>
      <c r="CB48" s="205"/>
      <c r="CC48" s="210"/>
      <c r="CD48" s="210"/>
      <c r="CE48" s="210"/>
      <c r="CF48" s="210"/>
      <c r="CG48" s="210"/>
      <c r="CH48" s="210"/>
      <c r="CI48" s="210"/>
      <c r="CJ48" s="210"/>
      <c r="CK48" s="210"/>
      <c r="CL48" s="210"/>
      <c r="CM48" s="210"/>
      <c r="CN48" s="205"/>
      <c r="CO48" s="205"/>
      <c r="CP48" s="210"/>
      <c r="CQ48" s="210"/>
      <c r="CR48" s="210"/>
      <c r="CS48" s="210"/>
      <c r="CT48" s="210"/>
      <c r="CU48" s="210"/>
      <c r="CV48" s="210"/>
      <c r="CW48" s="210"/>
      <c r="CX48" s="210"/>
      <c r="CY48" s="210"/>
      <c r="CZ48" s="210"/>
      <c r="DA48" s="205"/>
      <c r="DB48" s="205"/>
      <c r="DC48" s="210"/>
      <c r="DD48" s="210"/>
      <c r="DE48" s="210"/>
      <c r="DF48" s="210"/>
      <c r="DG48" s="210"/>
      <c r="DH48" s="210"/>
      <c r="DI48" s="210"/>
      <c r="DJ48" s="210"/>
      <c r="DK48" s="210"/>
      <c r="DL48" s="210"/>
      <c r="DM48" s="210"/>
      <c r="DN48" s="205"/>
      <c r="DO48" s="205"/>
      <c r="DP48" s="210"/>
      <c r="DQ48" s="210"/>
      <c r="DR48" s="210"/>
      <c r="DS48" s="210"/>
      <c r="DT48" s="210"/>
      <c r="DU48" s="210"/>
      <c r="DV48" s="210"/>
      <c r="DW48" s="210"/>
      <c r="DX48" s="210"/>
      <c r="DY48" s="210"/>
      <c r="DZ48" s="210"/>
      <c r="EA48" s="205"/>
      <c r="EB48" s="205"/>
      <c r="EC48" s="210"/>
      <c r="ED48" s="210"/>
      <c r="EE48" s="210"/>
      <c r="EF48" s="210"/>
      <c r="EG48" s="210"/>
      <c r="EH48" s="210"/>
      <c r="EI48" s="210"/>
      <c r="EJ48" s="210"/>
      <c r="EK48" s="210"/>
      <c r="EL48" s="210"/>
      <c r="EM48" s="210"/>
      <c r="EN48" s="205"/>
      <c r="EO48" s="205"/>
      <c r="EP48" s="210"/>
      <c r="EQ48" s="210"/>
      <c r="ER48" s="210"/>
      <c r="ES48" s="210"/>
      <c r="ET48" s="210"/>
      <c r="EU48" s="210"/>
      <c r="EV48" s="210"/>
      <c r="EW48" s="210"/>
      <c r="EX48" s="210"/>
      <c r="EY48" s="210"/>
      <c r="EZ48" s="210"/>
      <c r="FA48" s="205"/>
      <c r="FB48" s="205"/>
      <c r="FC48" s="210"/>
      <c r="FD48" s="210"/>
      <c r="FE48" s="210"/>
      <c r="FF48" s="210"/>
      <c r="FG48" s="210"/>
      <c r="FH48" s="210"/>
      <c r="FI48" s="210"/>
      <c r="FJ48" s="210"/>
      <c r="FK48" s="210"/>
      <c r="FL48" s="210"/>
      <c r="FM48" s="210"/>
      <c r="FN48" s="205"/>
      <c r="FO48" s="205"/>
      <c r="FP48" s="210"/>
      <c r="FQ48" s="210"/>
      <c r="FR48" s="210"/>
      <c r="FS48" s="210"/>
      <c r="FT48" s="210"/>
      <c r="FU48" s="210"/>
      <c r="FV48" s="210"/>
      <c r="FW48" s="210"/>
      <c r="FX48" s="210"/>
      <c r="FY48" s="210"/>
      <c r="FZ48" s="210"/>
      <c r="GA48" s="205"/>
      <c r="GB48" s="205"/>
      <c r="GC48" s="210"/>
      <c r="GD48" s="210"/>
      <c r="GE48" s="210"/>
      <c r="GF48" s="210"/>
      <c r="GG48" s="210"/>
      <c r="GH48" s="210"/>
      <c r="GI48" s="210"/>
      <c r="GJ48" s="210"/>
      <c r="GK48" s="210"/>
      <c r="GL48" s="210"/>
      <c r="GM48" s="210"/>
      <c r="GN48" s="205"/>
      <c r="GO48" s="205"/>
      <c r="GP48" s="210"/>
      <c r="GQ48" s="210"/>
      <c r="GR48" s="210"/>
      <c r="GS48" s="210"/>
      <c r="GT48" s="210"/>
      <c r="GU48" s="210"/>
      <c r="GV48" s="210"/>
      <c r="GW48" s="210"/>
      <c r="GX48" s="210"/>
      <c r="GY48" s="210"/>
      <c r="GZ48" s="210"/>
      <c r="HA48" s="205"/>
      <c r="HB48" s="205"/>
      <c r="HC48" s="210"/>
      <c r="HD48" s="210"/>
      <c r="HE48" s="210"/>
      <c r="HF48" s="210"/>
      <c r="HG48" s="210"/>
      <c r="HH48" s="210"/>
      <c r="HI48" s="210"/>
      <c r="HJ48" s="210"/>
      <c r="HK48" s="210"/>
      <c r="HL48" s="210"/>
      <c r="HM48" s="210"/>
      <c r="HN48" s="205"/>
      <c r="HO48" s="205"/>
      <c r="HP48" s="210"/>
      <c r="HQ48" s="210"/>
      <c r="HR48" s="210"/>
      <c r="HS48" s="210"/>
      <c r="HT48" s="210"/>
      <c r="HU48" s="210"/>
      <c r="HV48" s="210"/>
      <c r="HW48" s="210"/>
      <c r="HX48" s="210"/>
      <c r="HY48" s="210"/>
      <c r="HZ48" s="210"/>
      <c r="IA48" s="205"/>
      <c r="IB48" s="205"/>
      <c r="IC48" s="210"/>
      <c r="ID48" s="210"/>
      <c r="IE48" s="210"/>
      <c r="IF48" s="210"/>
      <c r="IG48" s="210"/>
      <c r="IH48" s="210"/>
      <c r="II48" s="210"/>
      <c r="IJ48" s="210"/>
      <c r="IK48" s="210"/>
      <c r="IL48" s="210"/>
      <c r="IM48" s="210"/>
      <c r="IN48" s="205"/>
      <c r="IO48" s="205"/>
      <c r="IP48" s="210"/>
      <c r="IQ48" s="210"/>
      <c r="IR48" s="210"/>
      <c r="IS48" s="210"/>
      <c r="IT48" s="210"/>
      <c r="IU48" s="210"/>
      <c r="IV48" s="210"/>
    </row>
    <row r="49" spans="1:256" x14ac:dyDescent="0.2">
      <c r="A49" s="216"/>
      <c r="B49" s="217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09"/>
      <c r="O49" s="209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05"/>
      <c r="AB49" s="205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05"/>
      <c r="AO49" s="205"/>
      <c r="AP49" s="210"/>
      <c r="AQ49" s="210"/>
      <c r="AR49" s="210"/>
      <c r="AS49" s="210"/>
      <c r="AT49" s="210"/>
      <c r="AU49" s="210"/>
      <c r="AV49" s="210"/>
      <c r="AW49" s="210"/>
      <c r="AX49" s="210"/>
      <c r="AY49" s="210"/>
      <c r="AZ49" s="210"/>
      <c r="BA49" s="205"/>
      <c r="BB49" s="205"/>
      <c r="BC49" s="210"/>
      <c r="BD49" s="210"/>
      <c r="BE49" s="210"/>
      <c r="BF49" s="210"/>
      <c r="BG49" s="210"/>
      <c r="BH49" s="210"/>
      <c r="BI49" s="210"/>
      <c r="BJ49" s="210"/>
      <c r="BK49" s="210"/>
      <c r="BL49" s="210"/>
      <c r="BM49" s="210"/>
      <c r="BN49" s="205"/>
      <c r="BO49" s="205"/>
      <c r="BP49" s="210"/>
      <c r="BQ49" s="210"/>
      <c r="BR49" s="210"/>
      <c r="BS49" s="210"/>
      <c r="BT49" s="210"/>
      <c r="BU49" s="210"/>
      <c r="BV49" s="210"/>
      <c r="BW49" s="210"/>
      <c r="BX49" s="210"/>
      <c r="BY49" s="210"/>
      <c r="BZ49" s="210"/>
      <c r="CA49" s="205"/>
      <c r="CB49" s="205"/>
      <c r="CC49" s="210"/>
      <c r="CD49" s="210"/>
      <c r="CE49" s="210"/>
      <c r="CF49" s="210"/>
      <c r="CG49" s="210"/>
      <c r="CH49" s="210"/>
      <c r="CI49" s="210"/>
      <c r="CJ49" s="210"/>
      <c r="CK49" s="210"/>
      <c r="CL49" s="210"/>
      <c r="CM49" s="210"/>
      <c r="CN49" s="205"/>
      <c r="CO49" s="205"/>
      <c r="CP49" s="210"/>
      <c r="CQ49" s="210"/>
      <c r="CR49" s="210"/>
      <c r="CS49" s="210"/>
      <c r="CT49" s="210"/>
      <c r="CU49" s="210"/>
      <c r="CV49" s="210"/>
      <c r="CW49" s="210"/>
      <c r="CX49" s="210"/>
      <c r="CY49" s="210"/>
      <c r="CZ49" s="210"/>
      <c r="DA49" s="205"/>
      <c r="DB49" s="205"/>
      <c r="DC49" s="210"/>
      <c r="DD49" s="210"/>
      <c r="DE49" s="210"/>
      <c r="DF49" s="210"/>
      <c r="DG49" s="210"/>
      <c r="DH49" s="210"/>
      <c r="DI49" s="210"/>
      <c r="DJ49" s="210"/>
      <c r="DK49" s="210"/>
      <c r="DL49" s="210"/>
      <c r="DM49" s="210"/>
      <c r="DN49" s="205"/>
      <c r="DO49" s="205"/>
      <c r="DP49" s="210"/>
      <c r="DQ49" s="210"/>
      <c r="DR49" s="210"/>
      <c r="DS49" s="210"/>
      <c r="DT49" s="210"/>
      <c r="DU49" s="210"/>
      <c r="DV49" s="210"/>
      <c r="DW49" s="210"/>
      <c r="DX49" s="210"/>
      <c r="DY49" s="210"/>
      <c r="DZ49" s="210"/>
      <c r="EA49" s="205"/>
      <c r="EB49" s="205"/>
      <c r="EC49" s="210"/>
      <c r="ED49" s="210"/>
      <c r="EE49" s="210"/>
      <c r="EF49" s="210"/>
      <c r="EG49" s="210"/>
      <c r="EH49" s="210"/>
      <c r="EI49" s="210"/>
      <c r="EJ49" s="210"/>
      <c r="EK49" s="210"/>
      <c r="EL49" s="210"/>
      <c r="EM49" s="210"/>
      <c r="EN49" s="205"/>
      <c r="EO49" s="205"/>
      <c r="EP49" s="210"/>
      <c r="EQ49" s="210"/>
      <c r="ER49" s="210"/>
      <c r="ES49" s="210"/>
      <c r="ET49" s="210"/>
      <c r="EU49" s="210"/>
      <c r="EV49" s="210"/>
      <c r="EW49" s="210"/>
      <c r="EX49" s="210"/>
      <c r="EY49" s="210"/>
      <c r="EZ49" s="210"/>
      <c r="FA49" s="205"/>
      <c r="FB49" s="205"/>
      <c r="FC49" s="210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05"/>
      <c r="FO49" s="205"/>
      <c r="FP49" s="210"/>
      <c r="FQ49" s="210"/>
      <c r="FR49" s="210"/>
      <c r="FS49" s="210"/>
      <c r="FT49" s="210"/>
      <c r="FU49" s="210"/>
      <c r="FV49" s="210"/>
      <c r="FW49" s="210"/>
      <c r="FX49" s="210"/>
      <c r="FY49" s="210"/>
      <c r="FZ49" s="210"/>
      <c r="GA49" s="205"/>
      <c r="GB49" s="205"/>
      <c r="GC49" s="210"/>
      <c r="GD49" s="210"/>
      <c r="GE49" s="210"/>
      <c r="GF49" s="210"/>
      <c r="GG49" s="210"/>
      <c r="GH49" s="210"/>
      <c r="GI49" s="210"/>
      <c r="GJ49" s="210"/>
      <c r="GK49" s="210"/>
      <c r="GL49" s="210"/>
      <c r="GM49" s="210"/>
      <c r="GN49" s="205"/>
      <c r="GO49" s="205"/>
      <c r="GP49" s="210"/>
      <c r="GQ49" s="210"/>
      <c r="GR49" s="210"/>
      <c r="GS49" s="210"/>
      <c r="GT49" s="210"/>
      <c r="GU49" s="210"/>
      <c r="GV49" s="210"/>
      <c r="GW49" s="210"/>
      <c r="GX49" s="210"/>
      <c r="GY49" s="210"/>
      <c r="GZ49" s="210"/>
      <c r="HA49" s="205"/>
      <c r="HB49" s="205"/>
      <c r="HC49" s="210"/>
      <c r="HD49" s="210"/>
      <c r="HE49" s="210"/>
      <c r="HF49" s="210"/>
      <c r="HG49" s="210"/>
      <c r="HH49" s="210"/>
      <c r="HI49" s="210"/>
      <c r="HJ49" s="210"/>
      <c r="HK49" s="210"/>
      <c r="HL49" s="210"/>
      <c r="HM49" s="210"/>
      <c r="HN49" s="205"/>
      <c r="HO49" s="205"/>
      <c r="HP49" s="210"/>
      <c r="HQ49" s="210"/>
      <c r="HR49" s="210"/>
      <c r="HS49" s="210"/>
      <c r="HT49" s="210"/>
      <c r="HU49" s="210"/>
      <c r="HV49" s="210"/>
      <c r="HW49" s="210"/>
      <c r="HX49" s="210"/>
      <c r="HY49" s="210"/>
      <c r="HZ49" s="210"/>
      <c r="IA49" s="205"/>
      <c r="IB49" s="205"/>
      <c r="IC49" s="210"/>
      <c r="ID49" s="210"/>
      <c r="IE49" s="210"/>
      <c r="IF49" s="210"/>
      <c r="IG49" s="210"/>
      <c r="IH49" s="210"/>
      <c r="II49" s="210"/>
      <c r="IJ49" s="210"/>
      <c r="IK49" s="210"/>
      <c r="IL49" s="210"/>
      <c r="IM49" s="210"/>
      <c r="IN49" s="205"/>
      <c r="IO49" s="205"/>
      <c r="IP49" s="210"/>
      <c r="IQ49" s="210"/>
      <c r="IR49" s="210"/>
      <c r="IS49" s="210"/>
      <c r="IT49" s="210"/>
      <c r="IU49" s="210"/>
      <c r="IV49" s="210"/>
    </row>
    <row r="50" spans="1:256" x14ac:dyDescent="0.2">
      <c r="A50" s="216"/>
      <c r="B50" s="217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6"/>
      <c r="B51" s="217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6"/>
      <c r="B52" s="217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6"/>
      <c r="B53" s="217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6"/>
      <c r="B54" s="217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6"/>
      <c r="B55" s="217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6"/>
      <c r="B56" s="217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6"/>
      <c r="B57" s="217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6"/>
      <c r="B58" s="217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6"/>
      <c r="B59" s="217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6"/>
      <c r="B60" s="217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6"/>
      <c r="B61" s="217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6"/>
      <c r="B62" s="217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6"/>
      <c r="B63" s="217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6"/>
      <c r="B64" s="217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6"/>
      <c r="B65" s="217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6"/>
      <c r="B66" s="217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6"/>
      <c r="B67" s="217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6"/>
      <c r="B68" s="217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6"/>
      <c r="B69" s="217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18"/>
      <c r="B70" s="219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6"/>
      <c r="B71" s="206"/>
      <c r="C71" s="207"/>
      <c r="D71" s="207"/>
      <c r="E71" s="207"/>
      <c r="F71" s="207"/>
      <c r="G71" s="207"/>
      <c r="H71" s="207"/>
      <c r="I71" s="207"/>
      <c r="J71" s="207"/>
      <c r="K71" s="207"/>
      <c r="L71" s="207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8" t="s">
        <v>767</v>
      </c>
      <c r="B73" s="208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09"/>
      <c r="B74" s="209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09"/>
      <c r="B75" s="209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09"/>
      <c r="B76" s="209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09"/>
      <c r="B77" s="209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09"/>
      <c r="B78" s="209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09"/>
      <c r="B79" s="209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09"/>
      <c r="B80" s="209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09"/>
      <c r="B81" s="209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09"/>
      <c r="B82" s="209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09"/>
      <c r="B83" s="209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09"/>
      <c r="B84" s="209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09"/>
      <c r="B85" s="209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09"/>
      <c r="B86" s="209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09"/>
      <c r="B87" s="209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09"/>
      <c r="B88" s="209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09"/>
      <c r="B89" s="209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09"/>
      <c r="B90" s="209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2017-09-01T18:44:34Z</cp:lastPrinted>
  <dcterms:created xsi:type="dcterms:W3CDTF">1997-12-04T19:04:30Z</dcterms:created>
  <dcterms:modified xsi:type="dcterms:W3CDTF">2017-11-29T18:01:06Z</dcterms:modified>
</cp:coreProperties>
</file>