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0" i="12"/>
  <c r="C10" i="12"/>
  <c r="C12" i="12"/>
  <c r="C11" i="12"/>
  <c r="B20" i="12"/>
  <c r="B19" i="12"/>
  <c r="B10" i="12"/>
  <c r="B12" i="12"/>
  <c r="B11" i="12"/>
  <c r="D9" i="13"/>
  <c r="G276" i="1"/>
  <c r="H154" i="1"/>
  <c r="H155" i="1"/>
  <c r="H12" i="1"/>
  <c r="F459" i="1"/>
  <c r="G97" i="1"/>
  <c r="F368" i="1"/>
  <c r="G49" i="1" l="1"/>
  <c r="G22" i="1"/>
  <c r="H392" i="1"/>
  <c r="J96" i="1" l="1"/>
  <c r="F101" i="1" l="1"/>
  <c r="F22" i="1" l="1"/>
  <c r="F24" i="1"/>
  <c r="F12" i="1"/>
  <c r="C45" i="2" l="1"/>
  <c r="G51" i="1"/>
  <c r="F51" i="1"/>
  <c r="C37" i="10" l="1"/>
  <c r="F40" i="2" l="1"/>
  <c r="D39" i="2"/>
  <c r="G655" i="1"/>
  <c r="F48" i="2"/>
  <c r="E48" i="2"/>
  <c r="D48" i="2"/>
  <c r="D50" i="2" s="1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E122" i="2" s="1"/>
  <c r="L324" i="1"/>
  <c r="L325" i="1"/>
  <c r="L326" i="1"/>
  <c r="L333" i="1"/>
  <c r="L334" i="1"/>
  <c r="L335" i="1"/>
  <c r="L260" i="1"/>
  <c r="L261" i="1"/>
  <c r="L341" i="1"/>
  <c r="E131" i="2" s="1"/>
  <c r="L342" i="1"/>
  <c r="H25" i="13" s="1"/>
  <c r="C25" i="13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L614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H79" i="1"/>
  <c r="H94" i="1"/>
  <c r="E58" i="2" s="1"/>
  <c r="E62" i="2" s="1"/>
  <c r="E63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C143" i="2" s="1"/>
  <c r="L349" i="1"/>
  <c r="L350" i="1"/>
  <c r="E143" i="2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D115" i="2"/>
  <c r="F115" i="2"/>
  <c r="G115" i="2"/>
  <c r="E123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H461" i="1" s="1"/>
  <c r="H641" i="1" s="1"/>
  <c r="F460" i="1"/>
  <c r="G460" i="1"/>
  <c r="H460" i="1"/>
  <c r="G461" i="1"/>
  <c r="H640" i="1" s="1"/>
  <c r="J640" i="1" s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G634" i="1"/>
  <c r="H636" i="1"/>
  <c r="G640" i="1"/>
  <c r="G643" i="1"/>
  <c r="H643" i="1"/>
  <c r="G644" i="1"/>
  <c r="H644" i="1"/>
  <c r="G645" i="1"/>
  <c r="G649" i="1"/>
  <c r="G650" i="1"/>
  <c r="G652" i="1"/>
  <c r="H652" i="1"/>
  <c r="G653" i="1"/>
  <c r="H653" i="1"/>
  <c r="G654" i="1"/>
  <c r="H654" i="1"/>
  <c r="H655" i="1"/>
  <c r="G164" i="2"/>
  <c r="C26" i="10"/>
  <c r="C70" i="2"/>
  <c r="G62" i="2"/>
  <c r="J571" i="1"/>
  <c r="G22" i="2"/>
  <c r="H571" i="1"/>
  <c r="H192" i="1"/>
  <c r="I571" i="1"/>
  <c r="J552" i="1" l="1"/>
  <c r="L539" i="1"/>
  <c r="I552" i="1"/>
  <c r="H552" i="1"/>
  <c r="K551" i="1"/>
  <c r="I545" i="1"/>
  <c r="K545" i="1"/>
  <c r="J545" i="1"/>
  <c r="L529" i="1"/>
  <c r="G552" i="1"/>
  <c r="K549" i="1"/>
  <c r="G545" i="1"/>
  <c r="H545" i="1"/>
  <c r="F552" i="1"/>
  <c r="A13" i="12"/>
  <c r="L427" i="1"/>
  <c r="L419" i="1"/>
  <c r="F571" i="1"/>
  <c r="L570" i="1"/>
  <c r="K571" i="1"/>
  <c r="K503" i="1"/>
  <c r="G161" i="2"/>
  <c r="G157" i="2"/>
  <c r="C25" i="10"/>
  <c r="L351" i="1"/>
  <c r="E114" i="2"/>
  <c r="E118" i="2"/>
  <c r="L328" i="1"/>
  <c r="E125" i="2"/>
  <c r="E121" i="2"/>
  <c r="E124" i="2"/>
  <c r="E120" i="2"/>
  <c r="E119" i="2"/>
  <c r="G662" i="1"/>
  <c r="H338" i="1"/>
  <c r="H352" i="1" s="1"/>
  <c r="G338" i="1"/>
  <c r="G352" i="1" s="1"/>
  <c r="L309" i="1"/>
  <c r="F338" i="1"/>
  <c r="F352" i="1" s="1"/>
  <c r="C10" i="10"/>
  <c r="K338" i="1"/>
  <c r="K352" i="1" s="1"/>
  <c r="F662" i="1"/>
  <c r="L290" i="1"/>
  <c r="E115" i="2"/>
  <c r="F461" i="1"/>
  <c r="H639" i="1" s="1"/>
  <c r="J639" i="1" s="1"/>
  <c r="L382" i="1"/>
  <c r="G636" i="1" s="1"/>
  <c r="J636" i="1" s="1"/>
  <c r="F130" i="2"/>
  <c r="F144" i="2" s="1"/>
  <c r="F145" i="2" s="1"/>
  <c r="C29" i="10"/>
  <c r="H661" i="1"/>
  <c r="F661" i="1"/>
  <c r="D127" i="2"/>
  <c r="D128" i="2" s="1"/>
  <c r="D145" i="2" s="1"/>
  <c r="J651" i="1"/>
  <c r="K598" i="1"/>
  <c r="G647" i="1" s="1"/>
  <c r="J649" i="1"/>
  <c r="D31" i="2"/>
  <c r="J643" i="1"/>
  <c r="J644" i="1"/>
  <c r="L393" i="1"/>
  <c r="C138" i="2" s="1"/>
  <c r="H662" i="1"/>
  <c r="J655" i="1"/>
  <c r="H33" i="13"/>
  <c r="C114" i="2"/>
  <c r="D17" i="13"/>
  <c r="C17" i="13" s="1"/>
  <c r="I257" i="1"/>
  <c r="I271" i="1" s="1"/>
  <c r="C21" i="10"/>
  <c r="C15" i="10"/>
  <c r="E16" i="13"/>
  <c r="C16" i="13" s="1"/>
  <c r="D12" i="13"/>
  <c r="C12" i="13" s="1"/>
  <c r="C16" i="10"/>
  <c r="C125" i="2"/>
  <c r="C19" i="10"/>
  <c r="L229" i="1"/>
  <c r="K257" i="1"/>
  <c r="K271" i="1" s="1"/>
  <c r="G257" i="1"/>
  <c r="G271" i="1" s="1"/>
  <c r="L247" i="1"/>
  <c r="H257" i="1"/>
  <c r="H271" i="1" s="1"/>
  <c r="C111" i="2"/>
  <c r="C11" i="10"/>
  <c r="C13" i="10"/>
  <c r="F257" i="1"/>
  <c r="F271" i="1" s="1"/>
  <c r="H647" i="1"/>
  <c r="D14" i="13"/>
  <c r="C14" i="13" s="1"/>
  <c r="D7" i="13"/>
  <c r="C7" i="13" s="1"/>
  <c r="C17" i="10"/>
  <c r="C124" i="2"/>
  <c r="E13" i="13"/>
  <c r="C13" i="13" s="1"/>
  <c r="C122" i="2"/>
  <c r="C18" i="10"/>
  <c r="C120" i="2"/>
  <c r="E8" i="13"/>
  <c r="C8" i="13" s="1"/>
  <c r="C118" i="2"/>
  <c r="A40" i="12"/>
  <c r="C12" i="10"/>
  <c r="A31" i="12"/>
  <c r="D5" i="13"/>
  <c r="C5" i="13" s="1"/>
  <c r="E103" i="2"/>
  <c r="F192" i="1"/>
  <c r="J645" i="1"/>
  <c r="G192" i="1"/>
  <c r="D91" i="2"/>
  <c r="I169" i="1"/>
  <c r="C91" i="2"/>
  <c r="F169" i="1"/>
  <c r="J140" i="1"/>
  <c r="E78" i="2"/>
  <c r="E81" i="2" s="1"/>
  <c r="H140" i="1"/>
  <c r="C78" i="2"/>
  <c r="C81" i="2" s="1"/>
  <c r="D62" i="2"/>
  <c r="D63" i="2" s="1"/>
  <c r="F81" i="2"/>
  <c r="J112" i="1"/>
  <c r="H112" i="1"/>
  <c r="F112" i="1"/>
  <c r="C35" i="10"/>
  <c r="E31" i="2"/>
  <c r="I52" i="1"/>
  <c r="H620" i="1" s="1"/>
  <c r="J620" i="1" s="1"/>
  <c r="H52" i="1"/>
  <c r="H619" i="1" s="1"/>
  <c r="J617" i="1"/>
  <c r="F18" i="2"/>
  <c r="D18" i="2"/>
  <c r="C18" i="2"/>
  <c r="J634" i="1"/>
  <c r="J641" i="1"/>
  <c r="F22" i="13"/>
  <c r="C22" i="13" s="1"/>
  <c r="K550" i="1"/>
  <c r="D29" i="13"/>
  <c r="C29" i="13" s="1"/>
  <c r="G624" i="1"/>
  <c r="L534" i="1"/>
  <c r="K500" i="1"/>
  <c r="I460" i="1"/>
  <c r="I452" i="1"/>
  <c r="I446" i="1"/>
  <c r="G642" i="1" s="1"/>
  <c r="C123" i="2"/>
  <c r="C121" i="2"/>
  <c r="C119" i="2"/>
  <c r="C112" i="2"/>
  <c r="C110" i="2"/>
  <c r="F85" i="2"/>
  <c r="F91" i="2" s="1"/>
  <c r="G661" i="1"/>
  <c r="L211" i="1"/>
  <c r="C20" i="10"/>
  <c r="L362" i="1"/>
  <c r="G472" i="1" s="1"/>
  <c r="C62" i="2"/>
  <c r="C63" i="2" s="1"/>
  <c r="G81" i="2"/>
  <c r="G112" i="1"/>
  <c r="D6" i="13"/>
  <c r="C6" i="13" s="1"/>
  <c r="D15" i="13"/>
  <c r="C15" i="13" s="1"/>
  <c r="L544" i="1"/>
  <c r="L524" i="1"/>
  <c r="J338" i="1"/>
  <c r="J352" i="1" s="1"/>
  <c r="H604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19" i="1"/>
  <c r="D103" i="2"/>
  <c r="I140" i="1"/>
  <c r="A22" i="12"/>
  <c r="J652" i="1"/>
  <c r="G571" i="1"/>
  <c r="I434" i="1"/>
  <c r="G434" i="1"/>
  <c r="K552" i="1" l="1"/>
  <c r="L545" i="1"/>
  <c r="G638" i="1"/>
  <c r="J472" i="1"/>
  <c r="I662" i="1"/>
  <c r="E128" i="2"/>
  <c r="E145" i="2" s="1"/>
  <c r="H660" i="1"/>
  <c r="H664" i="1" s="1"/>
  <c r="H667" i="1" s="1"/>
  <c r="L338" i="1"/>
  <c r="L352" i="1" s="1"/>
  <c r="G633" i="1" s="1"/>
  <c r="H605" i="1"/>
  <c r="K604" i="1"/>
  <c r="K605" i="1" s="1"/>
  <c r="G648" i="1" s="1"/>
  <c r="H648" i="1"/>
  <c r="D31" i="13"/>
  <c r="C31" i="13" s="1"/>
  <c r="F663" i="1"/>
  <c r="I663" i="1" s="1"/>
  <c r="E51" i="2"/>
  <c r="I461" i="1"/>
  <c r="H642" i="1" s="1"/>
  <c r="J642" i="1"/>
  <c r="I661" i="1"/>
  <c r="C27" i="10"/>
  <c r="C28" i="10" s="1"/>
  <c r="D23" i="10" s="1"/>
  <c r="G635" i="1"/>
  <c r="H635" i="1"/>
  <c r="G474" i="1"/>
  <c r="J647" i="1"/>
  <c r="H193" i="1"/>
  <c r="H468" i="1" s="1"/>
  <c r="C141" i="2"/>
  <c r="C144" i="2" s="1"/>
  <c r="G646" i="1"/>
  <c r="J468" i="1"/>
  <c r="L257" i="1"/>
  <c r="L271" i="1" s="1"/>
  <c r="C128" i="2"/>
  <c r="E33" i="13"/>
  <c r="D35" i="13" s="1"/>
  <c r="C115" i="2"/>
  <c r="F660" i="1"/>
  <c r="G104" i="2"/>
  <c r="I193" i="1"/>
  <c r="G630" i="1" s="1"/>
  <c r="E104" i="2"/>
  <c r="G664" i="1"/>
  <c r="G667" i="1" s="1"/>
  <c r="D104" i="2"/>
  <c r="C36" i="10"/>
  <c r="F193" i="1"/>
  <c r="G627" i="1" s="1"/>
  <c r="C104" i="2"/>
  <c r="F104" i="2"/>
  <c r="L408" i="1"/>
  <c r="C51" i="2"/>
  <c r="G631" i="1"/>
  <c r="G193" i="1"/>
  <c r="G626" i="1"/>
  <c r="J52" i="1"/>
  <c r="H621" i="1" s="1"/>
  <c r="J621" i="1" s="1"/>
  <c r="C38" i="10"/>
  <c r="G632" i="1" l="1"/>
  <c r="J474" i="1"/>
  <c r="H638" i="1"/>
  <c r="J638" i="1" s="1"/>
  <c r="H472" i="1"/>
  <c r="H633" i="1" s="1"/>
  <c r="J633" i="1" s="1"/>
  <c r="J648" i="1"/>
  <c r="F664" i="1"/>
  <c r="F672" i="1" s="1"/>
  <c r="C4" i="10" s="1"/>
  <c r="D33" i="13"/>
  <c r="D36" i="13" s="1"/>
  <c r="H474" i="1"/>
  <c r="G629" i="1"/>
  <c r="H672" i="1"/>
  <c r="C6" i="10" s="1"/>
  <c r="J635" i="1"/>
  <c r="H637" i="1"/>
  <c r="J470" i="1"/>
  <c r="H631" i="1"/>
  <c r="J631" i="1"/>
  <c r="G672" i="1"/>
  <c r="C5" i="10" s="1"/>
  <c r="F472" i="1"/>
  <c r="F474" i="1" s="1"/>
  <c r="D10" i="10"/>
  <c r="D26" i="10"/>
  <c r="C145" i="2"/>
  <c r="C30" i="10"/>
  <c r="D15" i="10"/>
  <c r="D21" i="10"/>
  <c r="D13" i="10"/>
  <c r="D11" i="10"/>
  <c r="D12" i="10"/>
  <c r="D20" i="10"/>
  <c r="D27" i="10"/>
  <c r="D18" i="10"/>
  <c r="D17" i="10"/>
  <c r="D16" i="10"/>
  <c r="D25" i="10"/>
  <c r="D19" i="10"/>
  <c r="D22" i="10"/>
  <c r="D24" i="10"/>
  <c r="I660" i="1"/>
  <c r="I664" i="1" s="1"/>
  <c r="I672" i="1" s="1"/>
  <c r="C7" i="10" s="1"/>
  <c r="I468" i="1"/>
  <c r="H630" i="1" s="1"/>
  <c r="J630" i="1" s="1"/>
  <c r="F468" i="1"/>
  <c r="F470" i="1" s="1"/>
  <c r="H470" i="1"/>
  <c r="H629" i="1"/>
  <c r="J629" i="1" s="1"/>
  <c r="I470" i="1"/>
  <c r="I476" i="1" s="1"/>
  <c r="H625" i="1" s="1"/>
  <c r="J625" i="1" s="1"/>
  <c r="G628" i="1"/>
  <c r="G468" i="1"/>
  <c r="G637" i="1"/>
  <c r="H646" i="1"/>
  <c r="J646" i="1" s="1"/>
  <c r="C41" i="10"/>
  <c r="D38" i="10" s="1"/>
  <c r="J476" i="1" l="1"/>
  <c r="H626" i="1" s="1"/>
  <c r="J626" i="1" s="1"/>
  <c r="F667" i="1"/>
  <c r="H476" i="1"/>
  <c r="H624" i="1" s="1"/>
  <c r="J624" i="1" s="1"/>
  <c r="J637" i="1"/>
  <c r="H632" i="1"/>
  <c r="J632" i="1" s="1"/>
  <c r="D28" i="10"/>
  <c r="I667" i="1"/>
  <c r="F476" i="1"/>
  <c r="H622" i="1" s="1"/>
  <c r="J622" i="1" s="1"/>
  <c r="H627" i="1"/>
  <c r="J627" i="1" s="1"/>
  <c r="H628" i="1"/>
  <c r="J628" i="1" s="1"/>
  <c r="G470" i="1"/>
  <c r="G476" i="1" s="1"/>
  <c r="H623" i="1" s="1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<sst xmlns="http://schemas.openxmlformats.org/spreadsheetml/2006/main" count="3980" uniqueCount="914">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</sst>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5" zoomScaleNormal="9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913</v>
      </c>
      <c r="B2" s="21">
        <v>463</v>
      </c>
      <c r="C2" s="21">
        <v>463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280</v>
      </c>
      <c r="G6" s="223" t="s">
        <v>281</v>
      </c>
      <c r="H6" s="223" t="s">
        <v>282</v>
      </c>
      <c r="I6" s="223" t="s">
        <v>283</v>
      </c>
      <c r="J6" s="223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3"/>
      <c r="G7" s="224"/>
      <c r="H7" s="223" t="s">
        <v>771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491570.67</v>
      </c>
      <c r="G9" s="18">
        <v>0</v>
      </c>
      <c r="H9" s="18">
        <v>0</v>
      </c>
      <c r="I9" s="18">
        <v>0</v>
      </c>
      <c r="J9" s="66">
        <f>SUM(I439)</f>
        <v>0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2230.7199999999998</v>
      </c>
      <c r="G10" s="18">
        <v>0</v>
      </c>
      <c r="H10" s="18">
        <v>0</v>
      </c>
      <c r="I10" s="18">
        <v>0</v>
      </c>
      <c r="J10" s="66">
        <f>SUM(I440)</f>
        <v>208627.06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417803.61+284023.99-50000</f>
        <v>651827.6</v>
      </c>
      <c r="G12" s="18">
        <v>5649.18</v>
      </c>
      <c r="H12" s="18">
        <f>404253.69-25909.47</f>
        <v>378344.22</v>
      </c>
      <c r="I12" s="18">
        <v>0</v>
      </c>
      <c r="J12" s="66">
        <f>SUM(I441)</f>
        <v>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0</v>
      </c>
      <c r="H13" s="18">
        <v>14202.51</v>
      </c>
      <c r="I13" s="18">
        <v>0</v>
      </c>
      <c r="J13" s="66">
        <f>SUM(I442)</f>
        <v>0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3075.47</v>
      </c>
      <c r="G14" s="18">
        <v>284718.15000000002</v>
      </c>
      <c r="H14" s="18">
        <v>0</v>
      </c>
      <c r="I14" s="18">
        <v>0</v>
      </c>
      <c r="J14" s="66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1148704.46</v>
      </c>
      <c r="G19" s="41">
        <f>SUM(G9:G18)</f>
        <v>290367.33</v>
      </c>
      <c r="H19" s="41">
        <f>SUM(H9:H18)</f>
        <v>392546.73</v>
      </c>
      <c r="I19" s="41">
        <f>SUM(I9:I18)</f>
        <v>0</v>
      </c>
      <c r="J19" s="41">
        <f>SUM(J9:J18)</f>
        <v>208627.06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404253.69+284718.15</f>
        <v>688971.84000000008</v>
      </c>
      <c r="G22" s="18">
        <f>279966.25+4057.74</f>
        <v>284023.99</v>
      </c>
      <c r="H22" s="18">
        <v>391894.14</v>
      </c>
      <c r="I22" s="18">
        <v>0</v>
      </c>
      <c r="J22" s="66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227291.52+740.73</f>
        <v>228032.25</v>
      </c>
      <c r="G24" s="18">
        <v>11.3</v>
      </c>
      <c r="H24" s="18">
        <v>652.59</v>
      </c>
      <c r="I24" s="18">
        <v>0</v>
      </c>
      <c r="J24" s="66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1531.55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917004.09000000008</v>
      </c>
      <c r="G32" s="41">
        <f>SUM(G22:G31)</f>
        <v>285566.83999999997</v>
      </c>
      <c r="H32" s="41">
        <f>SUM(H22:H31)</f>
        <v>392546.73000000004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81700.37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208627.06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f>2984.59+1815.9</f>
        <v>4800.49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0">
        <v>35</v>
      </c>
      <c r="D50" s="2" t="s">
        <v>656</v>
      </c>
      <c r="E50" s="6">
        <v>770</v>
      </c>
      <c r="F50" s="18">
        <v>100000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231700.37</v>
      </c>
      <c r="G51" s="41">
        <f>SUM(G35:G50)</f>
        <v>4800.49</v>
      </c>
      <c r="H51" s="41">
        <f>SUM(H35:H50)</f>
        <v>0</v>
      </c>
      <c r="I51" s="41">
        <f>SUM(I35:I50)</f>
        <v>0</v>
      </c>
      <c r="J51" s="41">
        <f>SUM(J35:J50)</f>
        <v>208627.06</v>
      </c>
      <c r="K51" s="45" t="s">
        <v>288</v>
      </c>
      <c r="L51" s="45" t="s">
        <v>288</v>
      </c>
      <c r="N51" s="268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1148704.46</v>
      </c>
      <c r="G52" s="41">
        <f>G51+G32</f>
        <v>290367.32999999996</v>
      </c>
      <c r="H52" s="41">
        <f>H51+H32</f>
        <v>392546.73000000004</v>
      </c>
      <c r="I52" s="41">
        <f>I51+I32</f>
        <v>0</v>
      </c>
      <c r="J52" s="41">
        <f>J51+J32</f>
        <v>208627.06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4262083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4262083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68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68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82.5</v>
      </c>
      <c r="G96" s="18">
        <v>0</v>
      </c>
      <c r="H96" s="18">
        <v>0</v>
      </c>
      <c r="I96" s="18">
        <v>0</v>
      </c>
      <c r="J96" s="18">
        <f>12.08+6.89</f>
        <v>18.97</v>
      </c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24647.75+255.75+2299-10474.91+1310.9+168.05</f>
        <v>18206.54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2750+6870.42</f>
        <v>9620.42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9702.92</v>
      </c>
      <c r="G111" s="41">
        <f>SUM(G96:G110)</f>
        <v>18206.54</v>
      </c>
      <c r="H111" s="41">
        <f>SUM(H96:H110)</f>
        <v>0</v>
      </c>
      <c r="I111" s="41">
        <f>SUM(I96:I110)</f>
        <v>0</v>
      </c>
      <c r="J111" s="41">
        <f>SUM(J96:J110)</f>
        <v>18.97</v>
      </c>
      <c r="K111" s="45" t="s">
        <v>288</v>
      </c>
      <c r="L111" s="45" t="s">
        <v>288</v>
      </c>
      <c r="N111" s="268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4271785.92</v>
      </c>
      <c r="G112" s="41">
        <f>G60+G111</f>
        <v>18206.54</v>
      </c>
      <c r="H112" s="41">
        <f>H60+H79+H94+H111</f>
        <v>0</v>
      </c>
      <c r="I112" s="41">
        <f>I60+I111</f>
        <v>0</v>
      </c>
      <c r="J112" s="41">
        <f>J60+J111</f>
        <v>18.97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503519.97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584130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1087649.97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0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43906.98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14825.06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487.85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58732.04</v>
      </c>
      <c r="G136" s="41">
        <f>SUM(G123:G135)</f>
        <v>487.85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1146382.01</v>
      </c>
      <c r="G140" s="41">
        <f>G121+SUM(G136:G137)</f>
        <v>487.85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2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22928.6+18472.05+855.5</f>
        <v>42256.149999999994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10475.71+13515.4</f>
        <v>23991.11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11601.38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0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11601.38</v>
      </c>
      <c r="H162" s="41">
        <f>SUM(H150:H161)</f>
        <v>66247.259999999995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11601.38</v>
      </c>
      <c r="H169" s="41">
        <f>H147+H162+SUM(H163:H168)</f>
        <v>66247.259999999995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2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15000</v>
      </c>
      <c r="H179" s="18">
        <v>0</v>
      </c>
      <c r="I179" s="18">
        <v>0</v>
      </c>
      <c r="J179" s="18">
        <v>50000</v>
      </c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15000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68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8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4" t="s">
        <v>430</v>
      </c>
      <c r="E192" s="51">
        <v>5000</v>
      </c>
      <c r="F192" s="41">
        <f>F177+F183+SUM(F188:F191)</f>
        <v>0</v>
      </c>
      <c r="G192" s="41">
        <f>G183+SUM(G188:G191)</f>
        <v>15000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5" t="s">
        <v>430</v>
      </c>
      <c r="E193" s="44"/>
      <c r="F193" s="47">
        <f>F112+F140+F169+F192</f>
        <v>5418167.9299999997</v>
      </c>
      <c r="G193" s="47">
        <f>G112+G140+G169+G192</f>
        <v>45295.77</v>
      </c>
      <c r="H193" s="47">
        <f>H112+H140+H169+H192</f>
        <v>66247.259999999995</v>
      </c>
      <c r="I193" s="47">
        <f>I112+I140+I169+I192</f>
        <v>0</v>
      </c>
      <c r="J193" s="47">
        <f>J112+J140+J192</f>
        <v>50018.97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5" t="s">
        <v>692</v>
      </c>
      <c r="G194" s="175" t="s">
        <v>693</v>
      </c>
      <c r="H194" s="175" t="s">
        <v>694</v>
      </c>
      <c r="I194" s="175" t="s">
        <v>695</v>
      </c>
      <c r="J194" s="175" t="s">
        <v>696</v>
      </c>
      <c r="K194" s="175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722094.99</v>
      </c>
      <c r="G197" s="18">
        <v>395654.56</v>
      </c>
      <c r="H197" s="18">
        <v>38059.03</v>
      </c>
      <c r="I197" s="18">
        <v>44228.7</v>
      </c>
      <c r="J197" s="18">
        <v>50406.559999999998</v>
      </c>
      <c r="K197" s="18">
        <v>0</v>
      </c>
      <c r="L197" s="19">
        <f>SUM(F197:K197)</f>
        <v>1250443.8400000001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261392.63</v>
      </c>
      <c r="G198" s="18">
        <v>88002.709999999992</v>
      </c>
      <c r="H198" s="18">
        <v>50254.38</v>
      </c>
      <c r="I198" s="18">
        <v>3005.27</v>
      </c>
      <c r="J198" s="18">
        <v>1080.75</v>
      </c>
      <c r="K198" s="18">
        <v>0</v>
      </c>
      <c r="L198" s="19">
        <f>SUM(F198:K198)</f>
        <v>403735.74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480</v>
      </c>
      <c r="G200" s="18">
        <v>72.459999999999994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552.46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184484.44</v>
      </c>
      <c r="G202" s="18">
        <v>109366.33</v>
      </c>
      <c r="H202" s="18">
        <v>48414.45</v>
      </c>
      <c r="I202" s="18">
        <v>806.29</v>
      </c>
      <c r="J202" s="18">
        <v>0</v>
      </c>
      <c r="K202" s="18">
        <v>0</v>
      </c>
      <c r="L202" s="19">
        <f t="shared" ref="L202:L208" si="0">SUM(F202:K202)</f>
        <v>343071.51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39529.54</v>
      </c>
      <c r="G203" s="18">
        <v>10780.22</v>
      </c>
      <c r="H203" s="18">
        <v>2197.5300000000002</v>
      </c>
      <c r="I203" s="18">
        <v>2629.2200000000003</v>
      </c>
      <c r="J203" s="18">
        <v>792.91</v>
      </c>
      <c r="K203" s="18">
        <v>1695.75</v>
      </c>
      <c r="L203" s="19">
        <f t="shared" si="0"/>
        <v>57625.170000000006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8065</v>
      </c>
      <c r="G204" s="18">
        <v>842.84999999999991</v>
      </c>
      <c r="H204" s="18">
        <v>186237.68</v>
      </c>
      <c r="I204" s="18">
        <v>1477.51</v>
      </c>
      <c r="J204" s="18">
        <v>0</v>
      </c>
      <c r="K204" s="18">
        <v>3009.3</v>
      </c>
      <c r="L204" s="19">
        <f t="shared" si="0"/>
        <v>199632.34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131640</v>
      </c>
      <c r="G205" s="18">
        <v>42121.31</v>
      </c>
      <c r="H205" s="18">
        <v>2475</v>
      </c>
      <c r="I205" s="18">
        <v>2727.74</v>
      </c>
      <c r="J205" s="18">
        <v>301.10000000000002</v>
      </c>
      <c r="K205" s="18">
        <v>0</v>
      </c>
      <c r="L205" s="19">
        <f t="shared" si="0"/>
        <v>179265.15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111312.15</v>
      </c>
      <c r="G207" s="18">
        <v>55588.46</v>
      </c>
      <c r="H207" s="18">
        <v>377312.25</v>
      </c>
      <c r="I207" s="18">
        <v>40105.699999999997</v>
      </c>
      <c r="J207" s="18">
        <v>11793.4</v>
      </c>
      <c r="K207" s="18">
        <v>0</v>
      </c>
      <c r="L207" s="19">
        <f t="shared" si="0"/>
        <v>596111.96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118226.38</v>
      </c>
      <c r="I208" s="18">
        <v>0</v>
      </c>
      <c r="J208" s="18">
        <v>0</v>
      </c>
      <c r="K208" s="18">
        <v>0</v>
      </c>
      <c r="L208" s="19">
        <f t="shared" si="0"/>
        <v>118226.38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1458998.75</v>
      </c>
      <c r="G211" s="41">
        <f t="shared" si="1"/>
        <v>702428.89999999991</v>
      </c>
      <c r="H211" s="41">
        <f t="shared" si="1"/>
        <v>823176.7</v>
      </c>
      <c r="I211" s="41">
        <f t="shared" si="1"/>
        <v>94980.43</v>
      </c>
      <c r="J211" s="41">
        <f t="shared" si="1"/>
        <v>64374.720000000001</v>
      </c>
      <c r="K211" s="41">
        <f t="shared" si="1"/>
        <v>4705.05</v>
      </c>
      <c r="L211" s="41">
        <f t="shared" si="1"/>
        <v>3148664.55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5" t="s">
        <v>692</v>
      </c>
      <c r="G212" s="175" t="s">
        <v>693</v>
      </c>
      <c r="H212" s="175" t="s">
        <v>694</v>
      </c>
      <c r="I212" s="175" t="s">
        <v>695</v>
      </c>
      <c r="J212" s="175" t="s">
        <v>696</v>
      </c>
      <c r="K212" s="175" t="s">
        <v>697</v>
      </c>
      <c r="L212" s="66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>
        <v>470445</v>
      </c>
      <c r="I215" s="18">
        <v>0</v>
      </c>
      <c r="J215" s="18">
        <v>0</v>
      </c>
      <c r="K215" s="18">
        <v>0</v>
      </c>
      <c r="L215" s="19">
        <f>SUM(F215:K215)</f>
        <v>470445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17218.740000000002</v>
      </c>
      <c r="G216" s="18">
        <v>11209.25</v>
      </c>
      <c r="H216" s="18">
        <v>125935.44</v>
      </c>
      <c r="I216" s="18">
        <v>0</v>
      </c>
      <c r="J216" s="18">
        <v>0</v>
      </c>
      <c r="K216" s="18">
        <v>0</v>
      </c>
      <c r="L216" s="19">
        <f>SUM(F216:K216)</f>
        <v>154363.43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3198.78</v>
      </c>
      <c r="G220" s="18">
        <v>2177.37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5376.15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34895.449999999997</v>
      </c>
      <c r="I226" s="18">
        <v>0</v>
      </c>
      <c r="J226" s="18">
        <v>0</v>
      </c>
      <c r="K226" s="18">
        <v>0</v>
      </c>
      <c r="L226" s="19">
        <f t="shared" si="2"/>
        <v>34895.449999999997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20417.52</v>
      </c>
      <c r="G229" s="41">
        <f>SUM(G215:G228)</f>
        <v>13386.619999999999</v>
      </c>
      <c r="H229" s="41">
        <f>SUM(H215:H228)</f>
        <v>631275.8899999999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665080.02999999991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4"/>
      <c r="D230" s="74"/>
      <c r="E230" s="74"/>
      <c r="F230" s="175" t="s">
        <v>692</v>
      </c>
      <c r="G230" s="175" t="s">
        <v>693</v>
      </c>
      <c r="H230" s="175" t="s">
        <v>694</v>
      </c>
      <c r="I230" s="175" t="s">
        <v>695</v>
      </c>
      <c r="J230" s="175" t="s">
        <v>696</v>
      </c>
      <c r="K230" s="175" t="s">
        <v>697</v>
      </c>
      <c r="L230" s="66"/>
      <c r="M230" s="8"/>
      <c r="N230" s="270"/>
    </row>
    <row r="231" spans="1:14" s="3" customFormat="1" ht="12" customHeight="1" x14ac:dyDescent="0.15">
      <c r="A231" s="29" t="s">
        <v>453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923859.81</v>
      </c>
      <c r="I233" s="18">
        <v>0</v>
      </c>
      <c r="J233" s="18">
        <v>0</v>
      </c>
      <c r="K233" s="18">
        <v>0</v>
      </c>
      <c r="L233" s="19">
        <f>SUM(F233:K233)</f>
        <v>923859.81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17218.740000000002</v>
      </c>
      <c r="G234" s="18">
        <v>11209.25</v>
      </c>
      <c r="H234" s="18">
        <v>450889.33999999997</v>
      </c>
      <c r="I234" s="18">
        <v>0</v>
      </c>
      <c r="J234" s="18">
        <v>0</v>
      </c>
      <c r="K234" s="18">
        <v>0</v>
      </c>
      <c r="L234" s="19">
        <f>SUM(F234:K234)</f>
        <v>479317.32999999996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3198.78</v>
      </c>
      <c r="G238" s="18">
        <v>2177.37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5376.15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139576.88</v>
      </c>
      <c r="I244" s="18">
        <v>0</v>
      </c>
      <c r="J244" s="18">
        <v>0</v>
      </c>
      <c r="K244" s="18">
        <v>0</v>
      </c>
      <c r="L244" s="19">
        <f t="shared" si="4"/>
        <v>139576.88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20417.52</v>
      </c>
      <c r="G247" s="41">
        <f t="shared" si="5"/>
        <v>13386.619999999999</v>
      </c>
      <c r="H247" s="41">
        <f t="shared" si="5"/>
        <v>1514326.0299999998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1548130.17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692</v>
      </c>
      <c r="G248" s="175" t="s">
        <v>693</v>
      </c>
      <c r="H248" s="175" t="s">
        <v>694</v>
      </c>
      <c r="I248" s="175" t="s">
        <v>695</v>
      </c>
      <c r="J248" s="175" t="s">
        <v>696</v>
      </c>
      <c r="K248" s="175" t="s">
        <v>697</v>
      </c>
      <c r="L248" s="66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1499833.79</v>
      </c>
      <c r="G257" s="41">
        <f t="shared" si="8"/>
        <v>729202.1399999999</v>
      </c>
      <c r="H257" s="41">
        <f t="shared" si="8"/>
        <v>2968778.6199999996</v>
      </c>
      <c r="I257" s="41">
        <f t="shared" si="8"/>
        <v>94980.43</v>
      </c>
      <c r="J257" s="41">
        <f t="shared" si="8"/>
        <v>64374.720000000001</v>
      </c>
      <c r="K257" s="41">
        <f t="shared" si="8"/>
        <v>4705.05</v>
      </c>
      <c r="L257" s="41">
        <f t="shared" si="8"/>
        <v>5361874.75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0</v>
      </c>
      <c r="L260" s="19">
        <f>SUM(F260:K260)</f>
        <v>0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0</v>
      </c>
      <c r="L261" s="19">
        <f>SUM(F261:K261)</f>
        <v>0</v>
      </c>
      <c r="N261" s="268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8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15000</v>
      </c>
      <c r="L263" s="19">
        <f>SUM(F263:K263)</f>
        <v>15000</v>
      </c>
      <c r="N263" s="268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68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8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65000</v>
      </c>
      <c r="L270" s="41">
        <f t="shared" si="9"/>
        <v>65000</v>
      </c>
      <c r="N270" s="268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1499833.79</v>
      </c>
      <c r="G271" s="42">
        <f t="shared" si="11"/>
        <v>729202.1399999999</v>
      </c>
      <c r="H271" s="42">
        <f t="shared" si="11"/>
        <v>2968778.6199999996</v>
      </c>
      <c r="I271" s="42">
        <f t="shared" si="11"/>
        <v>94980.43</v>
      </c>
      <c r="J271" s="42">
        <f t="shared" si="11"/>
        <v>64374.720000000001</v>
      </c>
      <c r="K271" s="42">
        <f t="shared" si="11"/>
        <v>69705.05</v>
      </c>
      <c r="L271" s="42">
        <f t="shared" si="11"/>
        <v>5426874.75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5" t="s">
        <v>692</v>
      </c>
      <c r="G273" s="175" t="s">
        <v>693</v>
      </c>
      <c r="H273" s="175" t="s">
        <v>694</v>
      </c>
      <c r="I273" s="175" t="s">
        <v>695</v>
      </c>
      <c r="J273" s="175" t="s">
        <v>696</v>
      </c>
      <c r="K273" s="175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13773</v>
      </c>
      <c r="G276" s="18">
        <f>2592.21+10475.71</f>
        <v>13067.919999999998</v>
      </c>
      <c r="H276" s="18">
        <v>0</v>
      </c>
      <c r="I276" s="18">
        <v>4595.17</v>
      </c>
      <c r="J276" s="18">
        <v>0</v>
      </c>
      <c r="K276" s="18">
        <v>0</v>
      </c>
      <c r="L276" s="19">
        <f>SUM(F276:K276)</f>
        <v>31436.089999999997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1600</v>
      </c>
      <c r="G282" s="18">
        <v>301.44</v>
      </c>
      <c r="H282" s="18">
        <v>29371.41</v>
      </c>
      <c r="I282" s="18">
        <v>0</v>
      </c>
      <c r="J282" s="18">
        <v>0</v>
      </c>
      <c r="K282" s="18">
        <v>0</v>
      </c>
      <c r="L282" s="19">
        <f t="shared" si="12"/>
        <v>31272.85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2014</v>
      </c>
      <c r="G285" s="18">
        <v>156</v>
      </c>
      <c r="H285" s="18">
        <v>0</v>
      </c>
      <c r="I285" s="18">
        <v>0</v>
      </c>
      <c r="J285" s="18">
        <v>0</v>
      </c>
      <c r="K285" s="18">
        <v>1368.32</v>
      </c>
      <c r="L285" s="19">
        <f t="shared" si="12"/>
        <v>3538.3199999999997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17387</v>
      </c>
      <c r="G290" s="42">
        <f t="shared" si="13"/>
        <v>13525.359999999999</v>
      </c>
      <c r="H290" s="42">
        <f t="shared" si="13"/>
        <v>29371.41</v>
      </c>
      <c r="I290" s="42">
        <f t="shared" si="13"/>
        <v>4595.17</v>
      </c>
      <c r="J290" s="42">
        <f t="shared" si="13"/>
        <v>0</v>
      </c>
      <c r="K290" s="42">
        <f t="shared" si="13"/>
        <v>1368.32</v>
      </c>
      <c r="L290" s="41">
        <f t="shared" si="13"/>
        <v>66247.259999999995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5" t="s">
        <v>692</v>
      </c>
      <c r="G292" s="175" t="s">
        <v>693</v>
      </c>
      <c r="H292" s="175" t="s">
        <v>694</v>
      </c>
      <c r="I292" s="175" t="s">
        <v>695</v>
      </c>
      <c r="J292" s="175" t="s">
        <v>696</v>
      </c>
      <c r="K292" s="175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5" t="s">
        <v>692</v>
      </c>
      <c r="G311" s="175" t="s">
        <v>693</v>
      </c>
      <c r="H311" s="175" t="s">
        <v>694</v>
      </c>
      <c r="I311" s="175" t="s">
        <v>695</v>
      </c>
      <c r="J311" s="175" t="s">
        <v>696</v>
      </c>
      <c r="K311" s="175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5" t="s">
        <v>692</v>
      </c>
      <c r="G330" s="175" t="s">
        <v>693</v>
      </c>
      <c r="H330" s="175" t="s">
        <v>694</v>
      </c>
      <c r="I330" s="175" t="s">
        <v>695</v>
      </c>
      <c r="J330" s="175" t="s">
        <v>696</v>
      </c>
      <c r="K330" s="175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17387</v>
      </c>
      <c r="G338" s="41">
        <f t="shared" si="20"/>
        <v>13525.359999999999</v>
      </c>
      <c r="H338" s="41">
        <f t="shared" si="20"/>
        <v>29371.41</v>
      </c>
      <c r="I338" s="41">
        <f t="shared" si="20"/>
        <v>4595.17</v>
      </c>
      <c r="J338" s="41">
        <f t="shared" si="20"/>
        <v>0</v>
      </c>
      <c r="K338" s="41">
        <f t="shared" si="20"/>
        <v>1368.32</v>
      </c>
      <c r="L338" s="41">
        <f t="shared" si="20"/>
        <v>66247.259999999995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17387</v>
      </c>
      <c r="G352" s="41">
        <f>G338</f>
        <v>13525.359999999999</v>
      </c>
      <c r="H352" s="41">
        <f>H338</f>
        <v>29371.41</v>
      </c>
      <c r="I352" s="41">
        <f>I338</f>
        <v>4595.17</v>
      </c>
      <c r="J352" s="41">
        <f>J338</f>
        <v>0</v>
      </c>
      <c r="K352" s="47">
        <f>K338+K351</f>
        <v>1368.32</v>
      </c>
      <c r="L352" s="41">
        <f>L338+L351</f>
        <v>66247.259999999995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692</v>
      </c>
      <c r="G354" s="175" t="s">
        <v>693</v>
      </c>
      <c r="H354" s="175" t="s">
        <v>694</v>
      </c>
      <c r="I354" s="175" t="s">
        <v>695</v>
      </c>
      <c r="J354" s="175" t="s">
        <v>696</v>
      </c>
      <c r="K354" s="175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696.5</v>
      </c>
      <c r="G358" s="18">
        <v>53.28</v>
      </c>
      <c r="H358" s="18">
        <v>39644</v>
      </c>
      <c r="I358" s="18">
        <v>3086.09</v>
      </c>
      <c r="J358" s="18">
        <v>0</v>
      </c>
      <c r="K358" s="18">
        <v>0</v>
      </c>
      <c r="L358" s="13">
        <f>SUM(F358:K358)</f>
        <v>43479.869999999995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696.5</v>
      </c>
      <c r="G362" s="47">
        <f t="shared" si="22"/>
        <v>53.28</v>
      </c>
      <c r="H362" s="47">
        <f t="shared" si="22"/>
        <v>39644</v>
      </c>
      <c r="I362" s="47">
        <f t="shared" si="22"/>
        <v>3086.09</v>
      </c>
      <c r="J362" s="47">
        <f t="shared" si="22"/>
        <v>0</v>
      </c>
      <c r="K362" s="47">
        <f t="shared" si="22"/>
        <v>0</v>
      </c>
      <c r="L362" s="47">
        <f t="shared" si="22"/>
        <v>43479.869999999995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18">
        <f>I358</f>
        <v>3086.09</v>
      </c>
      <c r="G368" s="18">
        <v>0</v>
      </c>
      <c r="H368" s="18">
        <v>0</v>
      </c>
      <c r="I368" s="56">
        <f>SUM(F368:H368)</f>
        <v>3086.09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3086.09</v>
      </c>
      <c r="G369" s="47">
        <f>SUM(G367:G368)</f>
        <v>0</v>
      </c>
      <c r="H369" s="47">
        <f>SUM(H367:H368)</f>
        <v>0</v>
      </c>
      <c r="I369" s="47">
        <f>SUM(I367:I368)</f>
        <v>3086.09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5" t="s">
        <v>692</v>
      </c>
      <c r="G371" s="175" t="s">
        <v>693</v>
      </c>
      <c r="H371" s="175" t="s">
        <v>694</v>
      </c>
      <c r="I371" s="175" t="s">
        <v>695</v>
      </c>
      <c r="J371" s="175" t="s">
        <v>696</v>
      </c>
      <c r="K371" s="175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6" t="s">
        <v>340</v>
      </c>
      <c r="M386" s="8"/>
      <c r="N386" s="270"/>
    </row>
    <row r="387" spans="1:14" s="3" customFormat="1" ht="12" customHeight="1" x14ac:dyDescent="0.15">
      <c r="A387" s="78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288</v>
      </c>
      <c r="K389" s="24" t="s">
        <v>288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50000</v>
      </c>
      <c r="H392" s="18">
        <f>J96</f>
        <v>18.97</v>
      </c>
      <c r="I392" s="18"/>
      <c r="J392" s="24" t="s">
        <v>288</v>
      </c>
      <c r="K392" s="24" t="s">
        <v>288</v>
      </c>
      <c r="L392" s="56">
        <f t="shared" si="25"/>
        <v>50018.97</v>
      </c>
      <c r="M392" s="8"/>
      <c r="N392" s="270"/>
    </row>
    <row r="393" spans="1:14" s="3" customFormat="1" ht="12" customHeight="1" thickTop="1" x14ac:dyDescent="0.15">
      <c r="A393" s="158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8">
        <f>SUM(F387:F392)</f>
        <v>0</v>
      </c>
      <c r="G393" s="138">
        <f>SUM(G387:G392)</f>
        <v>50000</v>
      </c>
      <c r="H393" s="138">
        <f>SUM(H387:H392)</f>
        <v>18.97</v>
      </c>
      <c r="I393" s="64">
        <f>SUM(I387:I392)</f>
        <v>0</v>
      </c>
      <c r="J393" s="45" t="s">
        <v>288</v>
      </c>
      <c r="K393" s="45" t="s">
        <v>288</v>
      </c>
      <c r="L393" s="47">
        <f>SUM(L387:L392)</f>
        <v>50018.97</v>
      </c>
      <c r="M393" s="8"/>
      <c r="N393" s="270"/>
    </row>
    <row r="394" spans="1:14" s="3" customFormat="1" ht="12" customHeight="1" x14ac:dyDescent="0.15">
      <c r="A394" s="77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8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288</v>
      </c>
      <c r="K397" s="24" t="s">
        <v>288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288</v>
      </c>
      <c r="K400" s="24" t="s">
        <v>288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58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7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09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18.97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50018.97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692</v>
      </c>
      <c r="G409" s="175" t="s">
        <v>693</v>
      </c>
      <c r="H409" s="175" t="s">
        <v>694</v>
      </c>
      <c r="I409" s="175" t="s">
        <v>695</v>
      </c>
      <c r="J409" s="175" t="s">
        <v>696</v>
      </c>
      <c r="K409" s="175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5"/>
      <c r="C410" s="75"/>
      <c r="D410" s="75"/>
      <c r="E410" s="75"/>
      <c r="F410" s="65"/>
      <c r="G410" s="16" t="s">
        <v>384</v>
      </c>
      <c r="H410" s="16" t="s">
        <v>385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6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8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8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58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7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8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208627.06</v>
      </c>
      <c r="G440" s="18">
        <v>0</v>
      </c>
      <c r="H440" s="18">
        <v>0</v>
      </c>
      <c r="I440" s="56">
        <f t="shared" si="33"/>
        <v>208627.06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8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8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8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8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8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69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208627.06</v>
      </c>
      <c r="G446" s="13">
        <f>SUM(G439:G445)</f>
        <v>0</v>
      </c>
      <c r="H446" s="13">
        <f>SUM(H439:H445)</f>
        <v>0</v>
      </c>
      <c r="I446" s="13">
        <f>SUM(I439:I445)</f>
        <v>208627.06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8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8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8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8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3" t="s">
        <v>423</v>
      </c>
      <c r="B452" s="72">
        <v>18</v>
      </c>
      <c r="C452" s="70">
        <v>13</v>
      </c>
      <c r="D452" s="2" t="s">
        <v>432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F440</f>
        <v>208627.06</v>
      </c>
      <c r="G459" s="18">
        <v>0</v>
      </c>
      <c r="H459" s="18">
        <v>0</v>
      </c>
      <c r="I459" s="56">
        <f t="shared" si="34"/>
        <v>208627.06</v>
      </c>
      <c r="J459" s="24" t="s">
        <v>288</v>
      </c>
      <c r="K459" s="24" t="s">
        <v>288</v>
      </c>
      <c r="L459" s="24" t="s">
        <v>288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0">
        <v>18</v>
      </c>
      <c r="C460" s="51">
        <v>20</v>
      </c>
      <c r="D460" s="48" t="s">
        <v>432</v>
      </c>
      <c r="E460" s="51"/>
      <c r="F460" s="82">
        <f>SUM(F454:F459)</f>
        <v>208627.06</v>
      </c>
      <c r="G460" s="82">
        <f>SUM(G454:G459)</f>
        <v>0</v>
      </c>
      <c r="H460" s="82">
        <f>SUM(H454:H459)</f>
        <v>0</v>
      </c>
      <c r="I460" s="82">
        <f>SUM(I454:I459)</f>
        <v>208627.06</v>
      </c>
      <c r="J460" s="24" t="s">
        <v>288</v>
      </c>
      <c r="K460" s="24" t="s">
        <v>288</v>
      </c>
      <c r="L460" s="24" t="s">
        <v>288</v>
      </c>
      <c r="N460" s="269"/>
    </row>
    <row r="461" spans="1:23" s="52" customFormat="1" ht="12" customHeight="1" thickTop="1" x14ac:dyDescent="0.2">
      <c r="A461" s="90" t="s">
        <v>424</v>
      </c>
      <c r="B461" s="44">
        <v>18</v>
      </c>
      <c r="C461" s="81">
        <v>21</v>
      </c>
      <c r="D461" s="155" t="s">
        <v>432</v>
      </c>
      <c r="E461" s="81"/>
      <c r="F461" s="42">
        <f>F452+F460</f>
        <v>208627.06</v>
      </c>
      <c r="G461" s="42">
        <f>G452+G460</f>
        <v>0</v>
      </c>
      <c r="H461" s="42">
        <f>H452+H460</f>
        <v>0</v>
      </c>
      <c r="I461" s="42">
        <f>I452+I460</f>
        <v>208627.06</v>
      </c>
      <c r="J461" s="24" t="s">
        <v>288</v>
      </c>
      <c r="K461" s="24" t="s">
        <v>288</v>
      </c>
      <c r="L461" s="24" t="s">
        <v>288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903</v>
      </c>
      <c r="B465" s="104">
        <v>19</v>
      </c>
      <c r="C465" s="110">
        <v>1</v>
      </c>
      <c r="D465" s="2" t="s">
        <v>432</v>
      </c>
      <c r="E465" s="110"/>
      <c r="F465" s="18">
        <v>240407.19</v>
      </c>
      <c r="G465" s="18">
        <v>2984.59</v>
      </c>
      <c r="H465" s="18">
        <v>0</v>
      </c>
      <c r="I465" s="18">
        <v>0</v>
      </c>
      <c r="J465" s="18">
        <v>158608.09</v>
      </c>
      <c r="K465" s="24" t="s">
        <v>288</v>
      </c>
      <c r="L465" s="24" t="s">
        <v>288</v>
      </c>
      <c r="N465" s="269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69"/>
    </row>
    <row r="467" spans="1:14" s="52" customFormat="1" ht="12" customHeight="1" x14ac:dyDescent="0.2">
      <c r="A467" s="93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69"/>
    </row>
    <row r="468" spans="1:14" s="52" customFormat="1" ht="12" customHeight="1" x14ac:dyDescent="0.2">
      <c r="A468" s="92" t="s">
        <v>613</v>
      </c>
      <c r="B468" s="74">
        <v>19</v>
      </c>
      <c r="C468" s="79">
        <v>2</v>
      </c>
      <c r="D468" s="2" t="s">
        <v>432</v>
      </c>
      <c r="E468" s="79"/>
      <c r="F468" s="18">
        <f>F193</f>
        <v>5418167.9299999997</v>
      </c>
      <c r="G468" s="18">
        <f>G193</f>
        <v>45295.77</v>
      </c>
      <c r="H468" s="18">
        <f>H193</f>
        <v>66247.259999999995</v>
      </c>
      <c r="I468" s="18">
        <f>I193</f>
        <v>0</v>
      </c>
      <c r="J468" s="18">
        <f>J193</f>
        <v>50018.97</v>
      </c>
      <c r="K468" s="24" t="s">
        <v>288</v>
      </c>
      <c r="L468" s="24" t="s">
        <v>288</v>
      </c>
      <c r="N468" s="269"/>
    </row>
    <row r="469" spans="1:14" s="52" customFormat="1" ht="12" customHeight="1" x14ac:dyDescent="0.2">
      <c r="A469" s="92" t="s">
        <v>614</v>
      </c>
      <c r="B469" s="74">
        <v>19</v>
      </c>
      <c r="C469" s="79">
        <v>3</v>
      </c>
      <c r="D469" s="2" t="s">
        <v>432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288</v>
      </c>
      <c r="L469" s="24" t="s">
        <v>288</v>
      </c>
      <c r="N469" s="269"/>
    </row>
    <row r="470" spans="1:14" s="52" customFormat="1" ht="12" customHeight="1" x14ac:dyDescent="0.2">
      <c r="A470" s="91" t="s">
        <v>425</v>
      </c>
      <c r="B470" s="74">
        <v>19</v>
      </c>
      <c r="C470" s="79">
        <v>4</v>
      </c>
      <c r="D470" s="2" t="s">
        <v>432</v>
      </c>
      <c r="E470" s="79"/>
      <c r="F470" s="53">
        <f>SUM(F468:F469)</f>
        <v>5418167.9299999997</v>
      </c>
      <c r="G470" s="53">
        <f>SUM(G468:G469)</f>
        <v>45295.77</v>
      </c>
      <c r="H470" s="53">
        <f>SUM(H468:H469)</f>
        <v>66247.259999999995</v>
      </c>
      <c r="I470" s="53">
        <f>SUM(I468:I469)</f>
        <v>0</v>
      </c>
      <c r="J470" s="53">
        <f>SUM(J468:J469)</f>
        <v>50018.97</v>
      </c>
      <c r="K470" s="24" t="s">
        <v>288</v>
      </c>
      <c r="L470" s="24" t="s">
        <v>288</v>
      </c>
      <c r="N470" s="269"/>
    </row>
    <row r="471" spans="1:14" s="52" customFormat="1" ht="12" customHeight="1" x14ac:dyDescent="0.2">
      <c r="A471" s="93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69"/>
    </row>
    <row r="472" spans="1:14" s="52" customFormat="1" ht="12" customHeight="1" x14ac:dyDescent="0.2">
      <c r="A472" s="92" t="s">
        <v>615</v>
      </c>
      <c r="B472" s="74">
        <v>19</v>
      </c>
      <c r="C472" s="79">
        <v>5</v>
      </c>
      <c r="D472" s="2" t="s">
        <v>432</v>
      </c>
      <c r="E472" s="79"/>
      <c r="F472" s="18">
        <f>L271</f>
        <v>5426874.75</v>
      </c>
      <c r="G472" s="18">
        <f>L362</f>
        <v>43479.869999999995</v>
      </c>
      <c r="H472" s="18">
        <f>L352</f>
        <v>66247.259999999995</v>
      </c>
      <c r="I472" s="18">
        <v>0</v>
      </c>
      <c r="J472" s="18">
        <f>L434</f>
        <v>0</v>
      </c>
      <c r="K472" s="24" t="s">
        <v>288</v>
      </c>
      <c r="L472" s="24" t="s">
        <v>288</v>
      </c>
      <c r="N472" s="269"/>
    </row>
    <row r="473" spans="1:14" s="52" customFormat="1" ht="12" customHeight="1" x14ac:dyDescent="0.2">
      <c r="A473" s="92" t="s">
        <v>616</v>
      </c>
      <c r="B473" s="74">
        <v>19</v>
      </c>
      <c r="C473" s="79">
        <v>6</v>
      </c>
      <c r="D473" s="2" t="s">
        <v>432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288</v>
      </c>
      <c r="L473" s="24" t="s">
        <v>288</v>
      </c>
      <c r="N473" s="269"/>
    </row>
    <row r="474" spans="1:14" s="52" customFormat="1" ht="12" customHeight="1" x14ac:dyDescent="0.2">
      <c r="A474" s="91" t="s">
        <v>426</v>
      </c>
      <c r="B474" s="74">
        <v>19</v>
      </c>
      <c r="C474" s="79">
        <v>7</v>
      </c>
      <c r="D474" s="2" t="s">
        <v>432</v>
      </c>
      <c r="E474" s="79"/>
      <c r="F474" s="53">
        <f>SUM(F472:F473)</f>
        <v>5426874.75</v>
      </c>
      <c r="G474" s="53">
        <f>SUM(G472:G473)</f>
        <v>43479.869999999995</v>
      </c>
      <c r="H474" s="53">
        <f>SUM(H472:H473)</f>
        <v>66247.259999999995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69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69"/>
    </row>
    <row r="476" spans="1:14" s="52" customFormat="1" ht="12" customHeight="1" x14ac:dyDescent="0.2">
      <c r="A476" s="188" t="s">
        <v>904</v>
      </c>
      <c r="B476" s="74">
        <v>19</v>
      </c>
      <c r="C476" s="114">
        <v>8</v>
      </c>
      <c r="D476" s="2" t="s">
        <v>432</v>
      </c>
      <c r="E476" s="114"/>
      <c r="F476" s="53">
        <f>(F465+F470)- F474</f>
        <v>231700.37000000011</v>
      </c>
      <c r="G476" s="53">
        <f>(G465+G470)- G474</f>
        <v>4800.4900000000052</v>
      </c>
      <c r="H476" s="53">
        <f>(H465+H470)- H474</f>
        <v>0</v>
      </c>
      <c r="I476" s="53">
        <f>(I465+I470)- I474</f>
        <v>0</v>
      </c>
      <c r="J476" s="53">
        <f>(J465+J470)- J474</f>
        <v>208627.06</v>
      </c>
      <c r="K476" s="24" t="s">
        <v>288</v>
      </c>
      <c r="L476" s="24" t="s">
        <v>288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660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698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401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653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699</v>
      </c>
      <c r="B482" s="111"/>
      <c r="C482" s="111"/>
      <c r="D482" s="111"/>
      <c r="E482" s="111"/>
      <c r="F482" s="111"/>
      <c r="G482" s="111"/>
      <c r="H482" s="111"/>
      <c r="I482" s="111" t="s">
        <v>473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474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475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905</v>
      </c>
      <c r="B488" s="104"/>
      <c r="C488" s="114"/>
      <c r="D488" s="114"/>
      <c r="E488" s="114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340</v>
      </c>
      <c r="L489" s="115"/>
      <c r="N489" s="269"/>
    </row>
    <row r="490" spans="1:14" s="52" customFormat="1" ht="12" customHeight="1" x14ac:dyDescent="0.2">
      <c r="A490" s="22" t="s">
        <v>617</v>
      </c>
      <c r="B490" s="74">
        <v>20</v>
      </c>
      <c r="C490" s="114">
        <v>1</v>
      </c>
      <c r="D490" s="2" t="s">
        <v>432</v>
      </c>
      <c r="E490" s="114"/>
      <c r="F490" s="152">
        <v>0</v>
      </c>
      <c r="G490" s="152">
        <v>0</v>
      </c>
      <c r="H490" s="152">
        <v>0</v>
      </c>
      <c r="I490" s="152">
        <v>0</v>
      </c>
      <c r="J490" s="152">
        <v>0</v>
      </c>
      <c r="K490" s="24" t="s">
        <v>288</v>
      </c>
      <c r="L490" s="24" t="s">
        <v>288</v>
      </c>
      <c r="N490" s="269"/>
    </row>
    <row r="491" spans="1:14" s="52" customFormat="1" ht="12" customHeight="1" x14ac:dyDescent="0.2">
      <c r="A491" s="22" t="s">
        <v>618</v>
      </c>
      <c r="B491" s="74">
        <v>20</v>
      </c>
      <c r="C491" s="114">
        <v>2</v>
      </c>
      <c r="D491" s="2" t="s">
        <v>432</v>
      </c>
      <c r="E491" s="114"/>
      <c r="F491" s="153" t="s">
        <v>912</v>
      </c>
      <c r="G491" s="153" t="s">
        <v>912</v>
      </c>
      <c r="H491" s="153" t="s">
        <v>912</v>
      </c>
      <c r="I491" s="153" t="s">
        <v>912</v>
      </c>
      <c r="J491" s="153" t="s">
        <v>912</v>
      </c>
      <c r="K491" s="24" t="s">
        <v>288</v>
      </c>
      <c r="L491" s="24" t="s">
        <v>288</v>
      </c>
      <c r="N491" s="269"/>
    </row>
    <row r="492" spans="1:14" s="52" customFormat="1" ht="12" customHeight="1" x14ac:dyDescent="0.2">
      <c r="A492" s="22" t="s">
        <v>619</v>
      </c>
      <c r="B492" s="74">
        <v>20</v>
      </c>
      <c r="C492" s="114">
        <v>3</v>
      </c>
      <c r="D492" s="2" t="s">
        <v>432</v>
      </c>
      <c r="E492" s="114"/>
      <c r="F492" s="153" t="s">
        <v>912</v>
      </c>
      <c r="G492" s="153" t="s">
        <v>912</v>
      </c>
      <c r="H492" s="153" t="s">
        <v>912</v>
      </c>
      <c r="I492" s="153" t="s">
        <v>912</v>
      </c>
      <c r="J492" s="153" t="s">
        <v>912</v>
      </c>
      <c r="K492" s="24" t="s">
        <v>288</v>
      </c>
      <c r="L492" s="24" t="s">
        <v>288</v>
      </c>
      <c r="N492" s="269"/>
    </row>
    <row r="493" spans="1:14" s="52" customFormat="1" ht="12" customHeight="1" x14ac:dyDescent="0.2">
      <c r="A493" s="22" t="s">
        <v>620</v>
      </c>
      <c r="B493" s="74">
        <v>20</v>
      </c>
      <c r="C493" s="114">
        <v>4</v>
      </c>
      <c r="D493" s="2" t="s">
        <v>432</v>
      </c>
      <c r="E493" s="114"/>
      <c r="F493" s="152">
        <v>0</v>
      </c>
      <c r="G493" s="152">
        <v>0</v>
      </c>
      <c r="H493" s="152">
        <v>0</v>
      </c>
      <c r="I493" s="152">
        <v>0</v>
      </c>
      <c r="J493" s="152">
        <v>0</v>
      </c>
      <c r="K493" s="24" t="s">
        <v>288</v>
      </c>
      <c r="L493" s="24" t="s">
        <v>288</v>
      </c>
      <c r="N493" s="269"/>
    </row>
    <row r="494" spans="1:14" s="52" customFormat="1" ht="12" customHeight="1" x14ac:dyDescent="0.2">
      <c r="A494" s="22" t="s">
        <v>621</v>
      </c>
      <c r="B494" s="74">
        <v>20</v>
      </c>
      <c r="C494" s="114">
        <v>5</v>
      </c>
      <c r="D494" s="2" t="s">
        <v>432</v>
      </c>
      <c r="E494" s="114"/>
      <c r="F494" s="153" t="s">
        <v>912</v>
      </c>
      <c r="G494" s="153" t="s">
        <v>912</v>
      </c>
      <c r="H494" s="153" t="s">
        <v>912</v>
      </c>
      <c r="I494" s="153" t="s">
        <v>912</v>
      </c>
      <c r="J494" s="153" t="s">
        <v>912</v>
      </c>
      <c r="K494" s="24" t="s">
        <v>288</v>
      </c>
      <c r="L494" s="24" t="s">
        <v>288</v>
      </c>
      <c r="N494" s="269"/>
    </row>
    <row r="495" spans="1:14" s="52" customFormat="1" ht="12" customHeight="1" x14ac:dyDescent="0.2">
      <c r="A495" s="22" t="s">
        <v>622</v>
      </c>
      <c r="B495" s="74">
        <v>20</v>
      </c>
      <c r="C495" s="114">
        <v>6</v>
      </c>
      <c r="D495" s="2" t="s">
        <v>432</v>
      </c>
      <c r="E495" s="114"/>
      <c r="F495" s="153" t="s">
        <v>912</v>
      </c>
      <c r="G495" s="153" t="s">
        <v>912</v>
      </c>
      <c r="H495" s="153" t="s">
        <v>912</v>
      </c>
      <c r="I495" s="153" t="s">
        <v>912</v>
      </c>
      <c r="J495" s="153" t="s">
        <v>912</v>
      </c>
      <c r="K495" s="53">
        <f>SUM(F495:J495)</f>
        <v>0</v>
      </c>
      <c r="L495" s="24" t="s">
        <v>288</v>
      </c>
      <c r="N495" s="269"/>
    </row>
    <row r="496" spans="1:14" s="52" customFormat="1" ht="12" customHeight="1" x14ac:dyDescent="0.2">
      <c r="A496" s="22" t="s">
        <v>623</v>
      </c>
      <c r="B496" s="74">
        <v>20</v>
      </c>
      <c r="C496" s="114">
        <v>7</v>
      </c>
      <c r="D496" s="2" t="s">
        <v>432</v>
      </c>
      <c r="E496" s="114"/>
      <c r="F496" s="152">
        <v>0</v>
      </c>
      <c r="G496" s="152">
        <v>0</v>
      </c>
      <c r="H496" s="152">
        <v>0</v>
      </c>
      <c r="I496" s="152">
        <v>0</v>
      </c>
      <c r="J496" s="152">
        <v>0</v>
      </c>
      <c r="K496" s="53">
        <f t="shared" ref="K496:K503" si="35">SUM(F496:J496)</f>
        <v>0</v>
      </c>
      <c r="L496" s="24" t="s">
        <v>288</v>
      </c>
      <c r="N496" s="269"/>
    </row>
    <row r="497" spans="1:14" s="52" customFormat="1" ht="12" customHeight="1" x14ac:dyDescent="0.2">
      <c r="A497" s="22" t="s">
        <v>624</v>
      </c>
      <c r="B497" s="74">
        <v>20</v>
      </c>
      <c r="C497" s="114">
        <v>8</v>
      </c>
      <c r="D497" s="2" t="s">
        <v>432</v>
      </c>
      <c r="E497" s="114"/>
      <c r="F497" s="153" t="s">
        <v>912</v>
      </c>
      <c r="G497" s="153" t="s">
        <v>912</v>
      </c>
      <c r="H497" s="153" t="s">
        <v>912</v>
      </c>
      <c r="I497" s="153" t="s">
        <v>912</v>
      </c>
      <c r="J497" s="153" t="s">
        <v>912</v>
      </c>
      <c r="K497" s="53">
        <f t="shared" si="35"/>
        <v>0</v>
      </c>
      <c r="L497" s="24" t="s">
        <v>288</v>
      </c>
      <c r="N497" s="269"/>
    </row>
    <row r="498" spans="1:14" s="52" customFormat="1" ht="12" customHeight="1" x14ac:dyDescent="0.2">
      <c r="A498" s="198" t="s">
        <v>625</v>
      </c>
      <c r="B498" s="199">
        <v>20</v>
      </c>
      <c r="C498" s="200">
        <v>9</v>
      </c>
      <c r="D498" s="201" t="s">
        <v>432</v>
      </c>
      <c r="E498" s="200"/>
      <c r="F498" s="202">
        <v>0</v>
      </c>
      <c r="G498" s="202">
        <v>0</v>
      </c>
      <c r="H498" s="202">
        <v>0</v>
      </c>
      <c r="I498" s="202">
        <v>0</v>
      </c>
      <c r="J498" s="202">
        <v>0</v>
      </c>
      <c r="K498" s="203">
        <f t="shared" si="35"/>
        <v>0</v>
      </c>
      <c r="L498" s="204" t="s">
        <v>288</v>
      </c>
      <c r="N498" s="269"/>
    </row>
    <row r="499" spans="1:14" s="52" customFormat="1" ht="12" customHeight="1" thickBot="1" x14ac:dyDescent="0.25">
      <c r="A499" s="22" t="s">
        <v>626</v>
      </c>
      <c r="B499" s="74">
        <v>20</v>
      </c>
      <c r="C499" s="114">
        <v>10</v>
      </c>
      <c r="D499" s="2" t="s">
        <v>432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0</v>
      </c>
      <c r="L499" s="24" t="s">
        <v>288</v>
      </c>
      <c r="N499" s="269"/>
    </row>
    <row r="500" spans="1:14" s="52" customFormat="1" ht="12" customHeight="1" thickTop="1" x14ac:dyDescent="0.2">
      <c r="A500" s="138" t="s">
        <v>627</v>
      </c>
      <c r="B500" s="44">
        <v>20</v>
      </c>
      <c r="C500" s="193">
        <v>11</v>
      </c>
      <c r="D500" s="39" t="s">
        <v>432</v>
      </c>
      <c r="E500" s="193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69"/>
    </row>
    <row r="501" spans="1:14" s="52" customFormat="1" ht="12" customHeight="1" x14ac:dyDescent="0.2">
      <c r="A501" s="198" t="s">
        <v>654</v>
      </c>
      <c r="B501" s="199">
        <v>20</v>
      </c>
      <c r="C501" s="200">
        <v>12</v>
      </c>
      <c r="D501" s="201" t="s">
        <v>432</v>
      </c>
      <c r="E501" s="200"/>
      <c r="F501" s="202">
        <v>0</v>
      </c>
      <c r="G501" s="202">
        <v>0</v>
      </c>
      <c r="H501" s="202">
        <v>0</v>
      </c>
      <c r="I501" s="202">
        <v>0</v>
      </c>
      <c r="J501" s="202">
        <v>0</v>
      </c>
      <c r="K501" s="203">
        <f t="shared" si="35"/>
        <v>0</v>
      </c>
      <c r="L501" s="204" t="s">
        <v>288</v>
      </c>
      <c r="N501" s="269"/>
    </row>
    <row r="502" spans="1:14" s="52" customFormat="1" ht="12" customHeight="1" thickBot="1" x14ac:dyDescent="0.25">
      <c r="A502" s="22" t="s">
        <v>628</v>
      </c>
      <c r="B502" s="74">
        <v>20</v>
      </c>
      <c r="C502" s="114">
        <v>13</v>
      </c>
      <c r="D502" s="2" t="s">
        <v>432</v>
      </c>
      <c r="E502" s="114"/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0</v>
      </c>
      <c r="L502" s="24" t="s">
        <v>288</v>
      </c>
      <c r="N502" s="269"/>
    </row>
    <row r="503" spans="1:14" s="52" customFormat="1" ht="12" customHeight="1" thickTop="1" x14ac:dyDescent="0.2">
      <c r="A503" s="138" t="s">
        <v>629</v>
      </c>
      <c r="B503" s="44">
        <v>20</v>
      </c>
      <c r="C503" s="193">
        <v>14</v>
      </c>
      <c r="D503" s="39" t="s">
        <v>432</v>
      </c>
      <c r="E503" s="193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288</v>
      </c>
      <c r="K506" s="24" t="s">
        <v>288</v>
      </c>
      <c r="L506" s="24" t="s">
        <v>288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432</v>
      </c>
      <c r="E507" s="114"/>
      <c r="F507" s="143"/>
      <c r="G507" s="143"/>
      <c r="H507" s="143"/>
      <c r="I507" s="143"/>
      <c r="J507" s="24" t="s">
        <v>288</v>
      </c>
      <c r="K507" s="24" t="s">
        <v>288</v>
      </c>
      <c r="L507" s="24" t="s">
        <v>288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630</v>
      </c>
      <c r="B511" s="74">
        <v>20</v>
      </c>
      <c r="C511" s="114">
        <v>16</v>
      </c>
      <c r="D511" s="2" t="s">
        <v>432</v>
      </c>
      <c r="E511" s="114">
        <v>210</v>
      </c>
      <c r="F511" s="18">
        <v>0</v>
      </c>
      <c r="G511" s="24" t="s">
        <v>288</v>
      </c>
      <c r="H511" s="18">
        <v>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69"/>
    </row>
    <row r="512" spans="1:14" s="52" customFormat="1" ht="12" customHeight="1" x14ac:dyDescent="0.2">
      <c r="A512" s="22" t="s">
        <v>631</v>
      </c>
      <c r="B512" s="74">
        <v>20</v>
      </c>
      <c r="C512" s="114">
        <v>17</v>
      </c>
      <c r="D512" s="2" t="s">
        <v>432</v>
      </c>
      <c r="E512" s="114">
        <v>220</v>
      </c>
      <c r="F512" s="18">
        <v>0</v>
      </c>
      <c r="G512" s="24" t="s">
        <v>288</v>
      </c>
      <c r="H512" s="18">
        <v>0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69"/>
    </row>
    <row r="513" spans="1:14" s="52" customFormat="1" ht="12" customHeight="1" x14ac:dyDescent="0.2">
      <c r="A513" s="22" t="s">
        <v>632</v>
      </c>
      <c r="B513" s="74">
        <v>20</v>
      </c>
      <c r="C513" s="114">
        <v>18</v>
      </c>
      <c r="D513" s="2" t="s">
        <v>432</v>
      </c>
      <c r="E513" s="114">
        <v>230</v>
      </c>
      <c r="F513" s="18">
        <v>0</v>
      </c>
      <c r="G513" s="24" t="s">
        <v>288</v>
      </c>
      <c r="H513" s="18">
        <v>0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69"/>
    </row>
    <row r="514" spans="1:14" s="52" customFormat="1" ht="12" customHeight="1" x14ac:dyDescent="0.2">
      <c r="A514" s="22" t="s">
        <v>633</v>
      </c>
      <c r="B514" s="74">
        <v>20</v>
      </c>
      <c r="C514" s="114">
        <v>19</v>
      </c>
      <c r="D514" s="2" t="s">
        <v>432</v>
      </c>
      <c r="E514" s="114">
        <v>240</v>
      </c>
      <c r="F514" s="18">
        <v>0</v>
      </c>
      <c r="G514" s="24" t="s">
        <v>288</v>
      </c>
      <c r="H514" s="18">
        <v>0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69"/>
    </row>
    <row r="515" spans="1:14" s="52" customFormat="1" ht="12" customHeight="1" x14ac:dyDescent="0.2">
      <c r="A515" s="22" t="s">
        <v>634</v>
      </c>
      <c r="B515" s="74">
        <v>20</v>
      </c>
      <c r="C515" s="114">
        <v>20</v>
      </c>
      <c r="D515" s="2" t="s">
        <v>432</v>
      </c>
      <c r="E515" s="114">
        <v>250</v>
      </c>
      <c r="F515" s="18">
        <v>0</v>
      </c>
      <c r="G515" s="24" t="s">
        <v>288</v>
      </c>
      <c r="H515" s="18">
        <v>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69"/>
    </row>
    <row r="516" spans="1:14" s="52" customFormat="1" ht="12" customHeight="1" thickBot="1" x14ac:dyDescent="0.25">
      <c r="A516" s="22" t="s">
        <v>635</v>
      </c>
      <c r="B516" s="74">
        <v>20</v>
      </c>
      <c r="C516" s="114">
        <v>21</v>
      </c>
      <c r="D516" s="2" t="s">
        <v>432</v>
      </c>
      <c r="E516" s="114">
        <v>710</v>
      </c>
      <c r="F516" s="24" t="s">
        <v>288</v>
      </c>
      <c r="G516" s="18">
        <v>0</v>
      </c>
      <c r="H516" s="24" t="s">
        <v>288</v>
      </c>
      <c r="I516" s="18">
        <v>0</v>
      </c>
      <c r="J516" s="24" t="s">
        <v>288</v>
      </c>
      <c r="K516" s="24" t="s">
        <v>288</v>
      </c>
      <c r="L516" s="24" t="s">
        <v>288</v>
      </c>
      <c r="N516" s="269"/>
    </row>
    <row r="517" spans="1:14" s="52" customFormat="1" ht="12" customHeight="1" thickTop="1" x14ac:dyDescent="0.2">
      <c r="A517" s="95" t="s">
        <v>427</v>
      </c>
      <c r="B517" s="74">
        <v>20</v>
      </c>
      <c r="C517" s="114">
        <v>22</v>
      </c>
      <c r="D517" s="2" t="s">
        <v>432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69"/>
    </row>
    <row r="518" spans="1:14" s="52" customFormat="1" ht="12" customHeight="1" x14ac:dyDescent="0.2">
      <c r="A518" s="95" t="s">
        <v>701</v>
      </c>
      <c r="B518" s="104"/>
      <c r="C518" s="114"/>
      <c r="D518" s="114"/>
      <c r="E518" s="114"/>
      <c r="F518" s="175" t="s">
        <v>692</v>
      </c>
      <c r="G518" s="175" t="s">
        <v>693</v>
      </c>
      <c r="H518" s="175" t="s">
        <v>694</v>
      </c>
      <c r="I518" s="175" t="s">
        <v>695</v>
      </c>
      <c r="J518" s="175" t="s">
        <v>696</v>
      </c>
      <c r="K518" s="175" t="s">
        <v>697</v>
      </c>
      <c r="L518" s="105"/>
      <c r="N518" s="269"/>
    </row>
    <row r="519" spans="1:14" s="52" customFormat="1" ht="12" customHeight="1" x14ac:dyDescent="0.2">
      <c r="A519" s="176" t="s">
        <v>700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69"/>
    </row>
    <row r="521" spans="1:14" s="52" customFormat="1" ht="12" customHeight="1" x14ac:dyDescent="0.2">
      <c r="A521" s="22" t="s">
        <v>636</v>
      </c>
      <c r="B521" s="104">
        <v>21</v>
      </c>
      <c r="C521" s="114">
        <v>1</v>
      </c>
      <c r="D521" s="2" t="s">
        <v>432</v>
      </c>
      <c r="E521" s="114"/>
      <c r="F521" s="18">
        <v>261392.63</v>
      </c>
      <c r="G521" s="18">
        <v>88002.709999999992</v>
      </c>
      <c r="H521" s="18">
        <v>50254.38</v>
      </c>
      <c r="I521" s="18">
        <v>3005.27</v>
      </c>
      <c r="J521" s="18">
        <v>1080.75</v>
      </c>
      <c r="K521" s="18">
        <v>0</v>
      </c>
      <c r="L521" s="87">
        <f>SUM(F521:K521)</f>
        <v>403735.74</v>
      </c>
      <c r="N521" s="269"/>
    </row>
    <row r="522" spans="1:14" s="52" customFormat="1" ht="12" customHeight="1" x14ac:dyDescent="0.2">
      <c r="A522" s="22" t="s">
        <v>637</v>
      </c>
      <c r="B522" s="104">
        <v>21</v>
      </c>
      <c r="C522" s="114">
        <v>2</v>
      </c>
      <c r="D522" s="2" t="s">
        <v>432</v>
      </c>
      <c r="E522" s="114"/>
      <c r="F522" s="18">
        <v>17218.740000000002</v>
      </c>
      <c r="G522" s="18">
        <v>11209.25</v>
      </c>
      <c r="H522" s="18">
        <v>125935.44</v>
      </c>
      <c r="I522" s="18">
        <v>0</v>
      </c>
      <c r="J522" s="18">
        <v>0</v>
      </c>
      <c r="K522" s="18">
        <v>0</v>
      </c>
      <c r="L522" s="87">
        <f>SUM(F522:K522)</f>
        <v>154363.43</v>
      </c>
      <c r="N522" s="269"/>
    </row>
    <row r="523" spans="1:14" s="52" customFormat="1" ht="12" customHeight="1" thickBot="1" x14ac:dyDescent="0.25">
      <c r="A523" s="22" t="s">
        <v>638</v>
      </c>
      <c r="B523" s="104">
        <v>21</v>
      </c>
      <c r="C523" s="114">
        <v>3</v>
      </c>
      <c r="D523" s="2" t="s">
        <v>432</v>
      </c>
      <c r="E523" s="114"/>
      <c r="F523" s="18">
        <v>17218.740000000002</v>
      </c>
      <c r="G523" s="18">
        <v>11209.25</v>
      </c>
      <c r="H523" s="18">
        <v>450889.33999999997</v>
      </c>
      <c r="I523" s="18">
        <v>0</v>
      </c>
      <c r="J523" s="18">
        <v>0</v>
      </c>
      <c r="K523" s="18">
        <v>0</v>
      </c>
      <c r="L523" s="87">
        <f>SUM(F523:K523)</f>
        <v>479317.32999999996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432</v>
      </c>
      <c r="E524" s="193"/>
      <c r="F524" s="107">
        <f>SUM(F521:F523)</f>
        <v>295830.11</v>
      </c>
      <c r="G524" s="107">
        <f t="shared" ref="G524:L524" si="36">SUM(G521:G523)</f>
        <v>110421.20999999999</v>
      </c>
      <c r="H524" s="107">
        <f t="shared" si="36"/>
        <v>627079.15999999992</v>
      </c>
      <c r="I524" s="107">
        <f t="shared" si="36"/>
        <v>3005.27</v>
      </c>
      <c r="J524" s="107">
        <f t="shared" si="36"/>
        <v>1080.75</v>
      </c>
      <c r="K524" s="107">
        <f t="shared" si="36"/>
        <v>0</v>
      </c>
      <c r="L524" s="88">
        <f t="shared" si="36"/>
        <v>1037416.4999999999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69"/>
    </row>
    <row r="526" spans="1:14" s="3" customFormat="1" ht="12" customHeight="1" x14ac:dyDescent="0.15">
      <c r="A526" s="22" t="s">
        <v>636</v>
      </c>
      <c r="B526" s="104">
        <v>21</v>
      </c>
      <c r="C526" s="114">
        <v>5</v>
      </c>
      <c r="D526" s="2" t="s">
        <v>432</v>
      </c>
      <c r="E526" s="114"/>
      <c r="F526" s="18">
        <v>67175</v>
      </c>
      <c r="G526" s="18">
        <v>44407.28</v>
      </c>
      <c r="H526" s="18">
        <v>48414.45</v>
      </c>
      <c r="I526" s="18">
        <v>125.4</v>
      </c>
      <c r="J526" s="18">
        <v>0</v>
      </c>
      <c r="K526" s="18">
        <v>0</v>
      </c>
      <c r="L526" s="87">
        <f>SUM(F526:K526)</f>
        <v>160122.12999999998</v>
      </c>
      <c r="M526" s="8"/>
      <c r="N526" s="270"/>
    </row>
    <row r="527" spans="1:14" s="3" customFormat="1" ht="12" customHeight="1" x14ac:dyDescent="0.15">
      <c r="A527" s="22" t="s">
        <v>637</v>
      </c>
      <c r="B527" s="104">
        <v>21</v>
      </c>
      <c r="C527" s="114">
        <v>6</v>
      </c>
      <c r="D527" s="2" t="s">
        <v>432</v>
      </c>
      <c r="E527" s="114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7">
        <v>21</v>
      </c>
      <c r="C528" s="117">
        <v>7</v>
      </c>
      <c r="D528" s="2" t="s">
        <v>432</v>
      </c>
      <c r="E528" s="117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7">
        <f>SUM(F528:K528)</f>
        <v>0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432</v>
      </c>
      <c r="E529" s="106"/>
      <c r="F529" s="88">
        <f>SUM(F526:F528)</f>
        <v>67175</v>
      </c>
      <c r="G529" s="88">
        <f t="shared" ref="G529:L529" si="37">SUM(G526:G528)</f>
        <v>44407.28</v>
      </c>
      <c r="H529" s="88">
        <f t="shared" si="37"/>
        <v>48414.45</v>
      </c>
      <c r="I529" s="88">
        <f t="shared" si="37"/>
        <v>125.4</v>
      </c>
      <c r="J529" s="88">
        <f t="shared" si="37"/>
        <v>0</v>
      </c>
      <c r="K529" s="88">
        <f t="shared" si="37"/>
        <v>0</v>
      </c>
      <c r="L529" s="88">
        <f t="shared" si="37"/>
        <v>160122.12999999998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4">
        <v>21</v>
      </c>
      <c r="C531" s="104">
        <v>9</v>
      </c>
      <c r="D531" s="2" t="s">
        <v>432</v>
      </c>
      <c r="E531" s="104"/>
      <c r="F531" s="18">
        <v>28077.935142019698</v>
      </c>
      <c r="G531" s="18">
        <v>13325.552555935454</v>
      </c>
      <c r="H531" s="18">
        <v>0</v>
      </c>
      <c r="I531" s="18">
        <v>68.088999999999999</v>
      </c>
      <c r="J531" s="18">
        <v>0</v>
      </c>
      <c r="K531" s="18">
        <v>0</v>
      </c>
      <c r="L531" s="87">
        <f>SUM(F531:K531)</f>
        <v>41471.576697955148</v>
      </c>
      <c r="M531" s="8"/>
      <c r="N531" s="270"/>
    </row>
    <row r="532" spans="1:14" s="3" customFormat="1" ht="12" customHeight="1" x14ac:dyDescent="0.15">
      <c r="A532" s="22" t="s">
        <v>637</v>
      </c>
      <c r="B532" s="104">
        <v>21</v>
      </c>
      <c r="C532" s="104">
        <v>10</v>
      </c>
      <c r="D532" s="2" t="s">
        <v>432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4">
        <v>21</v>
      </c>
      <c r="C533" s="104">
        <v>11</v>
      </c>
      <c r="D533" s="2" t="s">
        <v>432</v>
      </c>
      <c r="E533" s="104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7">
        <f>SUM(F533:K533)</f>
        <v>0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432</v>
      </c>
      <c r="E534" s="106"/>
      <c r="F534" s="88">
        <f>SUM(F531:F533)</f>
        <v>28077.935142019698</v>
      </c>
      <c r="G534" s="88">
        <f t="shared" ref="G534:L534" si="38">SUM(G531:G533)</f>
        <v>13325.552555935454</v>
      </c>
      <c r="H534" s="88">
        <f t="shared" si="38"/>
        <v>0</v>
      </c>
      <c r="I534" s="88">
        <f t="shared" si="38"/>
        <v>68.088999999999999</v>
      </c>
      <c r="J534" s="88">
        <f t="shared" si="38"/>
        <v>0</v>
      </c>
      <c r="K534" s="88">
        <f t="shared" si="38"/>
        <v>0</v>
      </c>
      <c r="L534" s="88">
        <f t="shared" si="38"/>
        <v>41471.576697955148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288</v>
      </c>
      <c r="G535" s="192" t="s">
        <v>288</v>
      </c>
      <c r="H535" s="192" t="s">
        <v>288</v>
      </c>
      <c r="I535" s="192" t="s">
        <v>288</v>
      </c>
      <c r="J535" s="192" t="s">
        <v>288</v>
      </c>
      <c r="K535" s="192" t="s">
        <v>288</v>
      </c>
      <c r="L535" s="192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4">
        <v>21</v>
      </c>
      <c r="C536" s="104">
        <v>13</v>
      </c>
      <c r="D536" s="2" t="s">
        <v>432</v>
      </c>
      <c r="E536" s="104"/>
      <c r="F536" s="18">
        <v>0</v>
      </c>
      <c r="G536" s="18">
        <v>0</v>
      </c>
      <c r="H536" s="18">
        <v>2648.68</v>
      </c>
      <c r="I536" s="18">
        <v>0</v>
      </c>
      <c r="J536" s="18">
        <v>0</v>
      </c>
      <c r="K536" s="18">
        <v>0</v>
      </c>
      <c r="L536" s="87">
        <f>SUM(F536:K536)</f>
        <v>2648.68</v>
      </c>
      <c r="M536" s="8"/>
      <c r="N536" s="270"/>
    </row>
    <row r="537" spans="1:14" s="3" customFormat="1" ht="12" customHeight="1" x14ac:dyDescent="0.15">
      <c r="A537" s="22" t="s">
        <v>637</v>
      </c>
      <c r="B537" s="104">
        <v>21</v>
      </c>
      <c r="C537" s="104">
        <v>14</v>
      </c>
      <c r="D537" s="2" t="s">
        <v>432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4">
        <v>21</v>
      </c>
      <c r="C538" s="104">
        <v>15</v>
      </c>
      <c r="D538" s="2" t="s">
        <v>432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432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2648.68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2648.68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4">
        <v>21</v>
      </c>
      <c r="C541" s="104">
        <v>17</v>
      </c>
      <c r="D541" s="2" t="s">
        <v>432</v>
      </c>
      <c r="E541" s="104"/>
      <c r="F541" s="18">
        <v>0</v>
      </c>
      <c r="G541" s="18">
        <v>0</v>
      </c>
      <c r="H541" s="18">
        <v>18570.25</v>
      </c>
      <c r="I541" s="18">
        <v>0</v>
      </c>
      <c r="J541" s="18">
        <v>0</v>
      </c>
      <c r="K541" s="18">
        <v>0</v>
      </c>
      <c r="L541" s="87">
        <f>SUM(F541:K541)</f>
        <v>18570.25</v>
      </c>
      <c r="M541" s="8"/>
      <c r="N541" s="270"/>
    </row>
    <row r="542" spans="1:14" s="3" customFormat="1" ht="12" customHeight="1" x14ac:dyDescent="0.15">
      <c r="A542" s="22" t="s">
        <v>637</v>
      </c>
      <c r="B542" s="104">
        <v>21</v>
      </c>
      <c r="C542" s="104">
        <v>18</v>
      </c>
      <c r="D542" s="2" t="s">
        <v>432</v>
      </c>
      <c r="E542" s="104"/>
      <c r="F542" s="18">
        <v>0</v>
      </c>
      <c r="G542" s="18">
        <v>0</v>
      </c>
      <c r="H542" s="18">
        <v>207.46</v>
      </c>
      <c r="I542" s="18">
        <v>0</v>
      </c>
      <c r="J542" s="18">
        <v>0</v>
      </c>
      <c r="K542" s="18">
        <v>0</v>
      </c>
      <c r="L542" s="87">
        <f>SUM(F542:K542)</f>
        <v>207.46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4">
        <v>21</v>
      </c>
      <c r="C543" s="104">
        <v>19</v>
      </c>
      <c r="D543" s="2" t="s">
        <v>432</v>
      </c>
      <c r="E543" s="104"/>
      <c r="F543" s="18">
        <v>0</v>
      </c>
      <c r="G543" s="18">
        <v>0</v>
      </c>
      <c r="H543" s="18">
        <v>70061.429999999993</v>
      </c>
      <c r="I543" s="18">
        <v>0</v>
      </c>
      <c r="J543" s="18">
        <v>0</v>
      </c>
      <c r="K543" s="18">
        <v>0</v>
      </c>
      <c r="L543" s="87">
        <f>SUM(F543:K543)</f>
        <v>70061.429999999993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432</v>
      </c>
      <c r="E544" s="189"/>
      <c r="F544" s="191">
        <f>SUM(F541:F543)</f>
        <v>0</v>
      </c>
      <c r="G544" s="191">
        <f t="shared" ref="G544:L544" si="40">SUM(G541:G543)</f>
        <v>0</v>
      </c>
      <c r="H544" s="191">
        <f t="shared" si="40"/>
        <v>88839.139999999985</v>
      </c>
      <c r="I544" s="191">
        <f t="shared" si="40"/>
        <v>0</v>
      </c>
      <c r="J544" s="191">
        <f t="shared" si="40"/>
        <v>0</v>
      </c>
      <c r="K544" s="191">
        <f t="shared" si="40"/>
        <v>0</v>
      </c>
      <c r="L544" s="191">
        <f t="shared" si="40"/>
        <v>88839.139999999985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432</v>
      </c>
      <c r="E545" s="106"/>
      <c r="F545" s="88">
        <f>F524+F529+F534+F539+F544</f>
        <v>391083.04514201969</v>
      </c>
      <c r="G545" s="88">
        <f t="shared" ref="G545:L545" si="41">G524+G529+G534+G539+G544</f>
        <v>168154.04255593545</v>
      </c>
      <c r="H545" s="88">
        <f t="shared" si="41"/>
        <v>766981.42999999993</v>
      </c>
      <c r="I545" s="88">
        <f t="shared" si="41"/>
        <v>3198.759</v>
      </c>
      <c r="J545" s="88">
        <f t="shared" si="41"/>
        <v>1080.75</v>
      </c>
      <c r="K545" s="88">
        <f t="shared" si="41"/>
        <v>0</v>
      </c>
      <c r="L545" s="88">
        <f t="shared" si="41"/>
        <v>1330498.0266979549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4">
        <v>21</v>
      </c>
      <c r="C549" s="74">
        <v>22</v>
      </c>
      <c r="D549" s="2" t="s">
        <v>432</v>
      </c>
      <c r="E549" s="74"/>
      <c r="F549" s="86">
        <f>L521</f>
        <v>403735.74</v>
      </c>
      <c r="G549" s="86">
        <f>L526</f>
        <v>160122.12999999998</v>
      </c>
      <c r="H549" s="86">
        <f>L531</f>
        <v>41471.576697955148</v>
      </c>
      <c r="I549" s="86">
        <f>L536</f>
        <v>2648.68</v>
      </c>
      <c r="J549" s="86">
        <f>L541</f>
        <v>18570.25</v>
      </c>
      <c r="K549" s="86">
        <f>SUM(F549:J549)</f>
        <v>626548.37669795519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4">
        <v>21</v>
      </c>
      <c r="C550" s="74">
        <v>23</v>
      </c>
      <c r="D550" s="2" t="s">
        <v>432</v>
      </c>
      <c r="E550" s="74"/>
      <c r="F550" s="86">
        <f>L522</f>
        <v>154363.43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207.46</v>
      </c>
      <c r="K550" s="86">
        <f>SUM(F550:J550)</f>
        <v>154570.88999999998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4">
        <v>21</v>
      </c>
      <c r="C551" s="74">
        <v>24</v>
      </c>
      <c r="D551" s="2" t="s">
        <v>432</v>
      </c>
      <c r="E551" s="74"/>
      <c r="F551" s="86">
        <f>L523</f>
        <v>479317.32999999996</v>
      </c>
      <c r="G551" s="86">
        <f>L528</f>
        <v>0</v>
      </c>
      <c r="H551" s="86">
        <f>L533</f>
        <v>0</v>
      </c>
      <c r="I551" s="86">
        <f>L538</f>
        <v>0</v>
      </c>
      <c r="J551" s="86">
        <f>L543</f>
        <v>70061.429999999993</v>
      </c>
      <c r="K551" s="86">
        <f>SUM(F551:J551)</f>
        <v>549378.76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0" t="s">
        <v>340</v>
      </c>
      <c r="B552" s="44">
        <v>21</v>
      </c>
      <c r="C552" s="44">
        <v>25</v>
      </c>
      <c r="D552" s="39" t="s">
        <v>432</v>
      </c>
      <c r="E552" s="44"/>
      <c r="F552" s="88">
        <f t="shared" ref="F552:K552" si="42">SUM(F549:F551)</f>
        <v>1037416.4999999999</v>
      </c>
      <c r="G552" s="88">
        <f t="shared" si="42"/>
        <v>160122.12999999998</v>
      </c>
      <c r="H552" s="88">
        <f t="shared" si="42"/>
        <v>41471.576697955148</v>
      </c>
      <c r="I552" s="88">
        <f t="shared" si="42"/>
        <v>2648.68</v>
      </c>
      <c r="J552" s="88">
        <f t="shared" si="42"/>
        <v>88839.139999999985</v>
      </c>
      <c r="K552" s="88">
        <f t="shared" si="42"/>
        <v>1330498.0266979551</v>
      </c>
      <c r="L552" s="24"/>
      <c r="M552" s="8"/>
      <c r="N552" s="270"/>
    </row>
    <row r="553" spans="1:14" s="3" customFormat="1" ht="12" customHeight="1" x14ac:dyDescent="0.15">
      <c r="A553" s="95" t="s">
        <v>582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692</v>
      </c>
      <c r="G554" s="175" t="s">
        <v>693</v>
      </c>
      <c r="H554" s="175" t="s">
        <v>694</v>
      </c>
      <c r="I554" s="175" t="s">
        <v>695</v>
      </c>
      <c r="J554" s="175" t="s">
        <v>696</v>
      </c>
      <c r="K554" s="175" t="s">
        <v>697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4">
        <v>22</v>
      </c>
      <c r="C557" s="114">
        <v>1</v>
      </c>
      <c r="D557" s="2" t="s">
        <v>432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70"/>
    </row>
    <row r="558" spans="1:14" s="3" customFormat="1" ht="12" customHeight="1" x14ac:dyDescent="0.15">
      <c r="A558" s="22" t="s">
        <v>637</v>
      </c>
      <c r="B558" s="104">
        <v>22</v>
      </c>
      <c r="C558" s="114">
        <v>2</v>
      </c>
      <c r="D558" s="2" t="s">
        <v>432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4">
        <v>22</v>
      </c>
      <c r="C559" s="114">
        <v>3</v>
      </c>
      <c r="D559" s="2" t="s">
        <v>432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432</v>
      </c>
      <c r="E560" s="193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4">
        <v>22</v>
      </c>
      <c r="C562" s="114">
        <v>5</v>
      </c>
      <c r="D562" s="2" t="s">
        <v>432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  <c r="N562" s="270"/>
    </row>
    <row r="563" spans="1:14" s="3" customFormat="1" ht="12" customHeight="1" x14ac:dyDescent="0.15">
      <c r="A563" s="22" t="s">
        <v>637</v>
      </c>
      <c r="B563" s="104">
        <v>22</v>
      </c>
      <c r="C563" s="114">
        <v>6</v>
      </c>
      <c r="D563" s="2" t="s">
        <v>432</v>
      </c>
      <c r="E563" s="114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4">
        <v>22</v>
      </c>
      <c r="C564" s="117">
        <v>7</v>
      </c>
      <c r="D564" s="2" t="s">
        <v>432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432</v>
      </c>
      <c r="E565" s="106"/>
      <c r="F565" s="88">
        <f t="shared" ref="F565:L565" si="44">SUM(F562:F564)</f>
        <v>0</v>
      </c>
      <c r="G565" s="88">
        <f t="shared" si="44"/>
        <v>0</v>
      </c>
      <c r="H565" s="88">
        <f t="shared" si="44"/>
        <v>0</v>
      </c>
      <c r="I565" s="88">
        <f t="shared" si="44"/>
        <v>0</v>
      </c>
      <c r="J565" s="88">
        <f t="shared" si="44"/>
        <v>0</v>
      </c>
      <c r="K565" s="88">
        <f t="shared" si="44"/>
        <v>0</v>
      </c>
      <c r="L565" s="88">
        <f t="shared" si="44"/>
        <v>0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4">
        <v>22</v>
      </c>
      <c r="C567" s="104">
        <v>9</v>
      </c>
      <c r="D567" s="2" t="s">
        <v>432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70"/>
    </row>
    <row r="568" spans="1:14" s="3" customFormat="1" ht="12" customHeight="1" x14ac:dyDescent="0.15">
      <c r="A568" s="22" t="s">
        <v>637</v>
      </c>
      <c r="B568" s="104">
        <v>22</v>
      </c>
      <c r="C568" s="104">
        <v>10</v>
      </c>
      <c r="D568" s="2" t="s">
        <v>432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4">
        <v>22</v>
      </c>
      <c r="C569" s="104">
        <v>11</v>
      </c>
      <c r="D569" s="2" t="s">
        <v>432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432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432</v>
      </c>
      <c r="E571" s="106"/>
      <c r="F571" s="88">
        <f>F560+F565+F570</f>
        <v>0</v>
      </c>
      <c r="G571" s="88">
        <f t="shared" ref="G571:L571" si="46">G560+G565+G570</f>
        <v>0</v>
      </c>
      <c r="H571" s="88">
        <f t="shared" si="46"/>
        <v>0</v>
      </c>
      <c r="I571" s="88">
        <f t="shared" si="46"/>
        <v>0</v>
      </c>
      <c r="J571" s="88">
        <f t="shared" si="46"/>
        <v>0</v>
      </c>
      <c r="K571" s="88">
        <f t="shared" si="46"/>
        <v>0</v>
      </c>
      <c r="L571" s="88">
        <f t="shared" si="46"/>
        <v>0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774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8" t="s">
        <v>672</v>
      </c>
      <c r="B575" s="74">
        <v>22</v>
      </c>
      <c r="C575" s="74">
        <v>14</v>
      </c>
      <c r="D575" s="2" t="s">
        <v>432</v>
      </c>
      <c r="E575" s="74">
        <v>561</v>
      </c>
      <c r="F575" s="18">
        <v>0</v>
      </c>
      <c r="G575" s="18">
        <v>0</v>
      </c>
      <c r="H575" s="18">
        <v>228334.15</v>
      </c>
      <c r="I575" s="86">
        <f>SUM(F575:H575)</f>
        <v>228334.15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8" t="s">
        <v>673</v>
      </c>
      <c r="B576" s="74">
        <v>22</v>
      </c>
      <c r="C576" s="74">
        <v>15</v>
      </c>
      <c r="D576" s="2" t="s">
        <v>432</v>
      </c>
      <c r="E576" s="74">
        <v>562</v>
      </c>
      <c r="F576" s="18">
        <v>0</v>
      </c>
      <c r="G576" s="18">
        <v>470445</v>
      </c>
      <c r="H576" s="18">
        <v>695525.66</v>
      </c>
      <c r="I576" s="86">
        <f t="shared" ref="I576:I587" si="47">SUM(F576:H576)</f>
        <v>1165970.6600000001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8" t="s">
        <v>743</v>
      </c>
      <c r="B577" s="74">
        <v>22</v>
      </c>
      <c r="C577" s="74">
        <v>16</v>
      </c>
      <c r="D577" s="2" t="s">
        <v>432</v>
      </c>
      <c r="E577" s="74">
        <v>563</v>
      </c>
      <c r="F577" s="24" t="s">
        <v>288</v>
      </c>
      <c r="G577" s="24" t="s">
        <v>288</v>
      </c>
      <c r="H577" s="18">
        <v>0</v>
      </c>
      <c r="I577" s="86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8" t="s">
        <v>677</v>
      </c>
      <c r="B578" s="74">
        <v>22</v>
      </c>
      <c r="C578" s="74">
        <v>17</v>
      </c>
      <c r="D578" s="2" t="s">
        <v>432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8" t="s">
        <v>674</v>
      </c>
      <c r="B579" s="74">
        <v>22</v>
      </c>
      <c r="C579" s="74">
        <v>18</v>
      </c>
      <c r="D579" s="2" t="s">
        <v>432</v>
      </c>
      <c r="E579" s="74">
        <v>561</v>
      </c>
      <c r="F579" s="18">
        <v>0</v>
      </c>
      <c r="G579" s="18">
        <v>0</v>
      </c>
      <c r="H579" s="18">
        <v>87560</v>
      </c>
      <c r="I579" s="86">
        <f t="shared" si="47"/>
        <v>87560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8" t="s">
        <v>675</v>
      </c>
      <c r="B580" s="74">
        <v>22</v>
      </c>
      <c r="C580" s="74">
        <v>19</v>
      </c>
      <c r="D580" s="2" t="s">
        <v>432</v>
      </c>
      <c r="E580" s="74">
        <v>562</v>
      </c>
      <c r="F580" s="18">
        <v>0</v>
      </c>
      <c r="G580" s="18">
        <v>117935.14</v>
      </c>
      <c r="H580" s="18">
        <v>152045.21</v>
      </c>
      <c r="I580" s="86">
        <f t="shared" si="47"/>
        <v>269980.34999999998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4" t="s">
        <v>744</v>
      </c>
      <c r="B581" s="74">
        <v>22</v>
      </c>
      <c r="C581" s="74">
        <v>20</v>
      </c>
      <c r="D581" s="2" t="s">
        <v>432</v>
      </c>
      <c r="E581" s="74">
        <v>563</v>
      </c>
      <c r="F581" s="24" t="s">
        <v>288</v>
      </c>
      <c r="G581" s="24" t="s">
        <v>288</v>
      </c>
      <c r="H581" s="18">
        <v>0</v>
      </c>
      <c r="I581" s="86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4" t="s">
        <v>676</v>
      </c>
      <c r="B582" s="74">
        <v>22</v>
      </c>
      <c r="C582" s="74">
        <v>21</v>
      </c>
      <c r="D582" s="2" t="s">
        <v>432</v>
      </c>
      <c r="E582" s="74">
        <v>564</v>
      </c>
      <c r="F582" s="18">
        <v>0</v>
      </c>
      <c r="G582" s="18">
        <v>8000.3</v>
      </c>
      <c r="H582" s="18">
        <v>208393.57</v>
      </c>
      <c r="I582" s="86">
        <f t="shared" si="47"/>
        <v>216393.87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4" t="s">
        <v>639</v>
      </c>
      <c r="B583" s="74">
        <v>22</v>
      </c>
      <c r="C583" s="74">
        <v>22</v>
      </c>
      <c r="D583" s="2" t="s">
        <v>432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4">
        <v>22</v>
      </c>
      <c r="C584" s="74">
        <v>23</v>
      </c>
      <c r="D584" s="2" t="s">
        <v>432</v>
      </c>
      <c r="E584" s="74">
        <v>561</v>
      </c>
      <c r="F584" s="18">
        <v>0</v>
      </c>
      <c r="G584" s="18">
        <v>0</v>
      </c>
      <c r="H584" s="18">
        <v>0</v>
      </c>
      <c r="I584" s="86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4">
        <v>22</v>
      </c>
      <c r="C585" s="74">
        <v>24</v>
      </c>
      <c r="D585" s="2" t="s">
        <v>432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4">
        <v>22</v>
      </c>
      <c r="C586" s="74">
        <v>25</v>
      </c>
      <c r="D586" s="2" t="s">
        <v>432</v>
      </c>
      <c r="E586" s="74">
        <v>563</v>
      </c>
      <c r="F586" s="24" t="s">
        <v>288</v>
      </c>
      <c r="G586" s="24" t="s">
        <v>288</v>
      </c>
      <c r="H586" s="18">
        <v>0</v>
      </c>
      <c r="I586" s="86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4">
        <v>22</v>
      </c>
      <c r="C587" s="74">
        <v>26</v>
      </c>
      <c r="D587" s="2" t="s">
        <v>432</v>
      </c>
      <c r="E587" s="74">
        <v>564</v>
      </c>
      <c r="F587" s="18"/>
      <c r="G587" s="18"/>
      <c r="H587" s="18">
        <v>0</v>
      </c>
      <c r="I587" s="86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1" t="s">
        <v>746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657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640</v>
      </c>
      <c r="B591" s="74">
        <v>23</v>
      </c>
      <c r="C591" s="74">
        <v>1</v>
      </c>
      <c r="D591" s="2" t="s">
        <v>432</v>
      </c>
      <c r="E591" s="74"/>
      <c r="F591" s="101">
        <v>2721</v>
      </c>
      <c r="G591" s="102" t="s">
        <v>97</v>
      </c>
      <c r="H591" s="18">
        <v>98657.13</v>
      </c>
      <c r="I591" s="18">
        <v>34687.99</v>
      </c>
      <c r="J591" s="18">
        <v>69515.45</v>
      </c>
      <c r="K591" s="103">
        <f t="shared" ref="K591:K597" si="48">SUM(H591:J591)</f>
        <v>202860.57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4">
        <v>23</v>
      </c>
      <c r="C592" s="74">
        <v>2</v>
      </c>
      <c r="D592" s="2" t="s">
        <v>432</v>
      </c>
      <c r="E592" s="74"/>
      <c r="F592" s="101">
        <v>2722</v>
      </c>
      <c r="G592" s="102" t="s">
        <v>97</v>
      </c>
      <c r="H592" s="18">
        <v>18570.25</v>
      </c>
      <c r="I592" s="18">
        <v>207.46</v>
      </c>
      <c r="J592" s="18">
        <v>70061.429999999993</v>
      </c>
      <c r="K592" s="103">
        <f t="shared" si="48"/>
        <v>88839.139999999985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4">
        <v>23</v>
      </c>
      <c r="C593" s="74">
        <v>3</v>
      </c>
      <c r="D593" s="2" t="s">
        <v>432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0</v>
      </c>
      <c r="K593" s="103">
        <f t="shared" si="48"/>
        <v>0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4">
        <v>23</v>
      </c>
      <c r="C594" s="74">
        <v>4</v>
      </c>
      <c r="D594" s="2" t="s">
        <v>432</v>
      </c>
      <c r="E594" s="74"/>
      <c r="F594" s="101">
        <v>2724</v>
      </c>
      <c r="G594" s="102" t="s">
        <v>97</v>
      </c>
      <c r="H594" s="18">
        <v>0</v>
      </c>
      <c r="I594" s="18">
        <v>0</v>
      </c>
      <c r="J594" s="18">
        <v>0</v>
      </c>
      <c r="K594" s="103">
        <f t="shared" si="48"/>
        <v>0</v>
      </c>
      <c r="L594" s="24" t="s">
        <v>288</v>
      </c>
      <c r="M594" s="8"/>
      <c r="N594" s="270"/>
    </row>
    <row r="595" spans="1:14" s="3" customFormat="1" ht="12" customHeight="1" x14ac:dyDescent="0.15">
      <c r="A595" s="169" t="s">
        <v>655</v>
      </c>
      <c r="B595" s="74">
        <v>23</v>
      </c>
      <c r="C595" s="74">
        <v>5</v>
      </c>
      <c r="D595" s="2" t="s">
        <v>432</v>
      </c>
      <c r="E595" s="74"/>
      <c r="F595" s="101">
        <v>2725</v>
      </c>
      <c r="G595" s="102" t="s">
        <v>97</v>
      </c>
      <c r="H595" s="18">
        <v>999</v>
      </c>
      <c r="I595" s="18">
        <v>0</v>
      </c>
      <c r="J595" s="18">
        <v>0</v>
      </c>
      <c r="K595" s="103">
        <f t="shared" si="48"/>
        <v>999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4">
        <v>23</v>
      </c>
      <c r="C596" s="74">
        <v>6</v>
      </c>
      <c r="D596" s="2" t="s">
        <v>432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4">
        <v>23</v>
      </c>
      <c r="C597" s="74">
        <v>7</v>
      </c>
      <c r="D597" s="2" t="s">
        <v>432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8"/>
        <v>0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7" t="s">
        <v>340</v>
      </c>
      <c r="B598" s="44">
        <v>23</v>
      </c>
      <c r="C598" s="44">
        <v>8</v>
      </c>
      <c r="D598" s="39" t="s">
        <v>432</v>
      </c>
      <c r="E598" s="44"/>
      <c r="F598" s="146">
        <v>2700</v>
      </c>
      <c r="G598" s="147" t="s">
        <v>97</v>
      </c>
      <c r="H598" s="107">
        <f>SUM(H591:H597)</f>
        <v>118226.38</v>
      </c>
      <c r="I598" s="107">
        <f>SUM(I591:I597)</f>
        <v>34895.449999999997</v>
      </c>
      <c r="J598" s="107">
        <f>SUM(J591:J597)</f>
        <v>139576.88</v>
      </c>
      <c r="K598" s="107">
        <f>SUM(K591:K597)</f>
        <v>292698.70999999996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645</v>
      </c>
      <c r="B602" s="104">
        <v>23</v>
      </c>
      <c r="C602" s="104">
        <v>9</v>
      </c>
      <c r="D602" s="2" t="s">
        <v>432</v>
      </c>
      <c r="E602" s="104"/>
      <c r="F602" s="102" t="s">
        <v>476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4">
        <v>23</v>
      </c>
      <c r="C603" s="104">
        <v>10</v>
      </c>
      <c r="D603" s="2" t="s">
        <v>432</v>
      </c>
      <c r="E603" s="104"/>
      <c r="F603" s="102" t="s">
        <v>476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4">
        <v>23</v>
      </c>
      <c r="C604" s="104">
        <v>11</v>
      </c>
      <c r="D604" s="2" t="s">
        <v>432</v>
      </c>
      <c r="E604" s="104"/>
      <c r="F604" s="102" t="s">
        <v>476</v>
      </c>
      <c r="G604" s="101">
        <v>730</v>
      </c>
      <c r="H604" s="18">
        <f>J211+J352</f>
        <v>64374.720000000001</v>
      </c>
      <c r="I604" s="18">
        <v>0</v>
      </c>
      <c r="J604" s="18">
        <v>0</v>
      </c>
      <c r="K604" s="103">
        <f>SUM(H604:J604)</f>
        <v>64374.720000000001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7" t="s">
        <v>340</v>
      </c>
      <c r="B605" s="44">
        <v>23</v>
      </c>
      <c r="C605" s="44">
        <v>12</v>
      </c>
      <c r="D605" s="39" t="s">
        <v>432</v>
      </c>
      <c r="E605" s="44"/>
      <c r="F605" s="147" t="s">
        <v>476</v>
      </c>
      <c r="G605" s="146">
        <v>700</v>
      </c>
      <c r="H605" s="107">
        <f>SUM(H602:H604)</f>
        <v>64374.720000000001</v>
      </c>
      <c r="I605" s="107">
        <f>SUM(I602:I604)</f>
        <v>0</v>
      </c>
      <c r="J605" s="107">
        <f>SUM(J602:J604)</f>
        <v>0</v>
      </c>
      <c r="K605" s="107">
        <f>SUM(K602:K604)</f>
        <v>64374.720000000001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583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692</v>
      </c>
      <c r="G609" s="175" t="s">
        <v>693</v>
      </c>
      <c r="H609" s="175" t="s">
        <v>694</v>
      </c>
      <c r="I609" s="175" t="s">
        <v>695</v>
      </c>
      <c r="J609" s="175" t="s">
        <v>696</v>
      </c>
      <c r="K609" s="175" t="s">
        <v>697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4">
        <v>23</v>
      </c>
      <c r="C611" s="74">
        <v>13</v>
      </c>
      <c r="D611" s="2" t="s">
        <v>432</v>
      </c>
      <c r="E611" s="74"/>
      <c r="F611" s="18">
        <v>2014</v>
      </c>
      <c r="G611" s="18">
        <v>156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2170</v>
      </c>
      <c r="M611" s="8"/>
      <c r="N611" s="270"/>
    </row>
    <row r="612" spans="1:14" s="3" customFormat="1" ht="12" customHeight="1" x14ac:dyDescent="0.15">
      <c r="A612" s="22" t="s">
        <v>637</v>
      </c>
      <c r="B612" s="74">
        <v>23</v>
      </c>
      <c r="C612" s="74">
        <v>14</v>
      </c>
      <c r="D612" s="2" t="s">
        <v>432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648</v>
      </c>
      <c r="B613" s="74">
        <v>23</v>
      </c>
      <c r="C613" s="74">
        <v>15</v>
      </c>
      <c r="D613" s="2" t="s">
        <v>432</v>
      </c>
      <c r="E613" s="74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7">
        <f>SUM(F613:K613)</f>
        <v>0</v>
      </c>
      <c r="M613" s="8"/>
      <c r="N613" s="270"/>
    </row>
    <row r="614" spans="1:14" s="3" customFormat="1" ht="12" customHeight="1" thickTop="1" x14ac:dyDescent="0.15">
      <c r="A614" s="97" t="s">
        <v>340</v>
      </c>
      <c r="B614" s="106">
        <v>23</v>
      </c>
      <c r="C614" s="106">
        <v>16</v>
      </c>
      <c r="D614" s="39" t="s">
        <v>432</v>
      </c>
      <c r="E614" s="106"/>
      <c r="F614" s="107">
        <f t="shared" ref="F614:L614" si="49">SUM(F611:F613)</f>
        <v>2014</v>
      </c>
      <c r="G614" s="107">
        <f t="shared" si="49"/>
        <v>156</v>
      </c>
      <c r="H614" s="107">
        <f t="shared" si="49"/>
        <v>0</v>
      </c>
      <c r="I614" s="107">
        <f t="shared" si="49"/>
        <v>0</v>
      </c>
      <c r="J614" s="107">
        <f t="shared" si="49"/>
        <v>0</v>
      </c>
      <c r="K614" s="107">
        <f t="shared" si="49"/>
        <v>0</v>
      </c>
      <c r="L614" s="88">
        <f t="shared" si="49"/>
        <v>2170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686</v>
      </c>
      <c r="G617" s="108">
        <f>SUM(F19)</f>
        <v>1148704.46</v>
      </c>
      <c r="H617" s="108">
        <f>SUM(F52)</f>
        <v>1148704.46</v>
      </c>
      <c r="I617" s="120" t="s">
        <v>890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687</v>
      </c>
      <c r="G618" s="108">
        <f>SUM(G19)</f>
        <v>290367.33</v>
      </c>
      <c r="H618" s="108">
        <f>SUM(G52)</f>
        <v>290367.32999999996</v>
      </c>
      <c r="I618" s="120" t="s">
        <v>891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688</v>
      </c>
      <c r="G619" s="108">
        <f>SUM(H19)</f>
        <v>392546.73</v>
      </c>
      <c r="H619" s="108">
        <f>SUM(H52)</f>
        <v>392546.73000000004</v>
      </c>
      <c r="I619" s="120" t="s">
        <v>892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689</v>
      </c>
      <c r="G620" s="108">
        <f>SUM(I19)</f>
        <v>0</v>
      </c>
      <c r="H620" s="108">
        <f>SUM(I52)</f>
        <v>0</v>
      </c>
      <c r="I620" s="120" t="s">
        <v>893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690</v>
      </c>
      <c r="G621" s="108">
        <f>SUM(J19)</f>
        <v>208627.06</v>
      </c>
      <c r="H621" s="108">
        <f>SUM(J52)</f>
        <v>208627.06</v>
      </c>
      <c r="I621" s="120" t="s">
        <v>894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880</v>
      </c>
      <c r="G622" s="108">
        <f>F51</f>
        <v>231700.37</v>
      </c>
      <c r="H622" s="108">
        <f>F476</f>
        <v>231700.37000000011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881</v>
      </c>
      <c r="G623" s="108">
        <f>G51</f>
        <v>4800.49</v>
      </c>
      <c r="H623" s="108">
        <f>G476</f>
        <v>4800.4900000000052</v>
      </c>
      <c r="I623" s="120" t="s">
        <v>102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882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883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884</v>
      </c>
      <c r="G626" s="108">
        <f>J51</f>
        <v>208627.06</v>
      </c>
      <c r="H626" s="108">
        <f>J476</f>
        <v>208627.06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661</v>
      </c>
      <c r="G627" s="108">
        <f>F193</f>
        <v>5418167.9299999997</v>
      </c>
      <c r="H627" s="103">
        <f>SUM(F468)</f>
        <v>5418167.9299999997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662</v>
      </c>
      <c r="G628" s="108">
        <f>G193</f>
        <v>45295.77</v>
      </c>
      <c r="H628" s="103">
        <f>SUM(G468)</f>
        <v>45295.77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663</v>
      </c>
      <c r="G629" s="108">
        <f>H193</f>
        <v>66247.259999999995</v>
      </c>
      <c r="H629" s="103">
        <f>SUM(H468)</f>
        <v>66247.259999999995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664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665</v>
      </c>
      <c r="G631" s="108">
        <f>J193</f>
        <v>50018.97</v>
      </c>
      <c r="H631" s="103">
        <f>SUM(J468)</f>
        <v>50018.97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394</v>
      </c>
      <c r="G632" s="108">
        <f>SUM(L271)</f>
        <v>5426874.75</v>
      </c>
      <c r="H632" s="103">
        <f>SUM(F472)</f>
        <v>5426874.75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395</v>
      </c>
      <c r="G633" s="108">
        <f>SUM(L352)</f>
        <v>66247.259999999995</v>
      </c>
      <c r="H633" s="103">
        <f>SUM(H472)</f>
        <v>66247.259999999995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3086.09</v>
      </c>
      <c r="H634" s="103">
        <f>I369</f>
        <v>3086.09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43479.869999999995</v>
      </c>
      <c r="H635" s="103">
        <f>SUM(G472)</f>
        <v>43479.869999999995</v>
      </c>
      <c r="I635" s="139" t="s">
        <v>114</v>
      </c>
      <c r="J635" s="108">
        <f t="shared" si="50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477</v>
      </c>
      <c r="G637" s="149">
        <f>SUM(L408)</f>
        <v>50018.97</v>
      </c>
      <c r="H637" s="162">
        <f>SUM(J468)</f>
        <v>50018.97</v>
      </c>
      <c r="I637" s="163" t="s">
        <v>110</v>
      </c>
      <c r="J637" s="149">
        <f t="shared" si="50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478</v>
      </c>
      <c r="G638" s="149">
        <f>SUM(L434)</f>
        <v>0</v>
      </c>
      <c r="H638" s="162">
        <f>SUM(J472)</f>
        <v>0</v>
      </c>
      <c r="I638" s="163" t="s">
        <v>117</v>
      </c>
      <c r="J638" s="149">
        <f t="shared" si="50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208627.06</v>
      </c>
      <c r="H639" s="103">
        <f>SUM(F461)</f>
        <v>208627.06</v>
      </c>
      <c r="I639" s="139" t="s">
        <v>856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857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858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208627.06</v>
      </c>
      <c r="H642" s="103">
        <f>SUM(I461)</f>
        <v>208627.06</v>
      </c>
      <c r="I642" s="139" t="s">
        <v>859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479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666</v>
      </c>
      <c r="G644" s="108">
        <f>J96</f>
        <v>18.97</v>
      </c>
      <c r="H644" s="103">
        <f>H408</f>
        <v>18.97</v>
      </c>
      <c r="I644" s="139" t="s">
        <v>480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667</v>
      </c>
      <c r="G645" s="108">
        <f>J183</f>
        <v>50000</v>
      </c>
      <c r="H645" s="103">
        <f>G408</f>
        <v>50000</v>
      </c>
      <c r="I645" s="139" t="s">
        <v>481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665</v>
      </c>
      <c r="G646" s="108">
        <f>J193</f>
        <v>50018.97</v>
      </c>
      <c r="H646" s="103">
        <f>L408</f>
        <v>50018.97</v>
      </c>
      <c r="I646" s="139" t="s">
        <v>477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292698.70999999996</v>
      </c>
      <c r="H647" s="103">
        <f>L208+L226+L244</f>
        <v>292698.71000000002</v>
      </c>
      <c r="I647" s="139" t="s">
        <v>396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64374.720000000001</v>
      </c>
      <c r="H648" s="103">
        <f>(J257+J338)-(J255+J336)</f>
        <v>64374.720000000001</v>
      </c>
      <c r="I648" s="139" t="s">
        <v>702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387</v>
      </c>
      <c r="G649" s="108">
        <f>L208</f>
        <v>118226.38</v>
      </c>
      <c r="H649" s="103">
        <f>H598</f>
        <v>118226.38</v>
      </c>
      <c r="I649" s="139" t="s">
        <v>388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392</v>
      </c>
      <c r="G650" s="108">
        <f>L226</f>
        <v>34895.449999999997</v>
      </c>
      <c r="H650" s="103">
        <f>I598</f>
        <v>34895.449999999997</v>
      </c>
      <c r="I650" s="139" t="s">
        <v>389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393</v>
      </c>
      <c r="G651" s="108">
        <f>L244</f>
        <v>139576.88</v>
      </c>
      <c r="H651" s="103">
        <f>J598</f>
        <v>139576.88</v>
      </c>
      <c r="I651" s="139" t="s">
        <v>390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668</v>
      </c>
      <c r="G652" s="108">
        <f>G179</f>
        <v>15000</v>
      </c>
      <c r="H652" s="103">
        <f>K263+K345</f>
        <v>15000</v>
      </c>
      <c r="I652" s="139" t="s">
        <v>397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669</v>
      </c>
      <c r="G653" s="108">
        <f>H179</f>
        <v>0</v>
      </c>
      <c r="H653" s="103">
        <f>K264</f>
        <v>0</v>
      </c>
      <c r="I653" s="139" t="s">
        <v>398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670</v>
      </c>
      <c r="G654" s="108">
        <f>I179</f>
        <v>0</v>
      </c>
      <c r="H654" s="103">
        <f>K265+K346</f>
        <v>0</v>
      </c>
      <c r="I654" s="139" t="s">
        <v>399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671</v>
      </c>
      <c r="G655" s="108">
        <f>J179+J181</f>
        <v>50000</v>
      </c>
      <c r="H655" s="103">
        <f>K266+K347</f>
        <v>50000</v>
      </c>
      <c r="I655" s="139" t="s">
        <v>400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3258391.6799999997</v>
      </c>
      <c r="G660" s="19">
        <f>(L229+L309+L359)</f>
        <v>665080.02999999991</v>
      </c>
      <c r="H660" s="19">
        <f>(L247+L328+L360)</f>
        <v>1548130.17</v>
      </c>
      <c r="I660" s="19">
        <f>SUM(F660:H660)</f>
        <v>5471601.879999999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18206.54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18206.54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118226.38</v>
      </c>
      <c r="G662" s="19">
        <f>(L226+L306)-(J226+J306)</f>
        <v>34895.449999999997</v>
      </c>
      <c r="H662" s="19">
        <f>(L244+L325)-(J244+J325)</f>
        <v>139576.88</v>
      </c>
      <c r="I662" s="19">
        <f>SUM(F662:H662)</f>
        <v>292698.71000000002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66544.72</v>
      </c>
      <c r="G663" s="197">
        <f>SUM(G575:G587)+SUM(I602:I604)+L612</f>
        <v>596380.44000000006</v>
      </c>
      <c r="H663" s="197">
        <f>SUM(H575:H587)+SUM(J602:J604)+L613</f>
        <v>1371858.59</v>
      </c>
      <c r="I663" s="19">
        <f>SUM(F663:H663)</f>
        <v>2034783.75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3055414.0399999996</v>
      </c>
      <c r="G664" s="19">
        <f>G660-SUM(G661:G663)</f>
        <v>33804.139999999898</v>
      </c>
      <c r="H664" s="19">
        <f>H660-SUM(H661:H663)</f>
        <v>36694.699999999721</v>
      </c>
      <c r="I664" s="19">
        <f>I660-SUM(I661:I663)</f>
        <v>3125912.879999999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158.75</v>
      </c>
      <c r="G665" s="246"/>
      <c r="H665" s="246"/>
      <c r="I665" s="19">
        <f>SUM(F665:H665)</f>
        <v>158.75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19246.7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19690.79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-33804.14</v>
      </c>
      <c r="H669" s="18">
        <v>-36694.699999999997</v>
      </c>
      <c r="I669" s="19">
        <f>SUM(F669:H669)</f>
        <v>-70498.84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19246.7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19246.7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784</v>
      </c>
      <c r="B1" s="230" t="str">
        <f>'DOE25'!A2</f>
        <v>Rollinsford</v>
      </c>
      <c r="C1" s="236" t="s">
        <v>838</v>
      </c>
    </row>
    <row r="2" spans="1:3" x14ac:dyDescent="0.2">
      <c r="A2" s="231"/>
      <c r="B2" s="230"/>
    </row>
    <row r="3" spans="1:3" x14ac:dyDescent="0.2">
      <c r="A3" s="276" t="s">
        <v>783</v>
      </c>
      <c r="B3" s="276"/>
      <c r="C3" s="276"/>
    </row>
    <row r="4" spans="1:3" x14ac:dyDescent="0.2">
      <c r="A4" s="234"/>
      <c r="B4" s="235" t="str">
        <f>'DOE25'!H1</f>
        <v>DOE 25  2016-2017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782</v>
      </c>
      <c r="C6" s="275"/>
    </row>
    <row r="7" spans="1:3" x14ac:dyDescent="0.2">
      <c r="A7" s="237" t="s">
        <v>785</v>
      </c>
      <c r="B7" s="273" t="s">
        <v>781</v>
      </c>
      <c r="C7" s="274"/>
    </row>
    <row r="8" spans="1:3" x14ac:dyDescent="0.2">
      <c r="B8" s="226" t="s">
        <v>54</v>
      </c>
      <c r="C8" s="226" t="s">
        <v>775</v>
      </c>
    </row>
    <row r="9" spans="1:3" x14ac:dyDescent="0.2">
      <c r="A9" s="33" t="s">
        <v>776</v>
      </c>
      <c r="B9" s="227">
        <f>'DOE25'!F197+'DOE25'!F215+'DOE25'!F233+'DOE25'!F276+'DOE25'!F295+'DOE25'!F314</f>
        <v>735867.99</v>
      </c>
      <c r="C9" s="227">
        <f>'DOE25'!G197+'DOE25'!G215+'DOE25'!G233+'DOE25'!G276+'DOE25'!G295+'DOE25'!G314</f>
        <v>408722.48</v>
      </c>
    </row>
    <row r="10" spans="1:3" x14ac:dyDescent="0.2">
      <c r="A10" t="s">
        <v>778</v>
      </c>
      <c r="B10" s="238">
        <f>657170+13773</f>
        <v>670943</v>
      </c>
      <c r="C10" s="238">
        <f>217857.72+5248.68+2134.08+1120.21+4331.05+42106.02+82499.47+33156.1+2592.21+10475.71</f>
        <v>401521.25</v>
      </c>
    </row>
    <row r="11" spans="1:3" x14ac:dyDescent="0.2">
      <c r="A11" t="s">
        <v>779</v>
      </c>
      <c r="B11" s="238">
        <f>40589.99</f>
        <v>40589.99</v>
      </c>
      <c r="C11" s="238">
        <f>2230.78+3108.67</f>
        <v>5339.4500000000007</v>
      </c>
    </row>
    <row r="12" spans="1:3" x14ac:dyDescent="0.2">
      <c r="A12" t="s">
        <v>780</v>
      </c>
      <c r="B12" s="238">
        <f>100+24235</f>
        <v>24335</v>
      </c>
      <c r="C12" s="238">
        <f>1854.13+7.65</f>
        <v>1861.7800000000002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735867.99</v>
      </c>
      <c r="C13" s="229">
        <f>SUM(C10:C12)</f>
        <v>408722.48000000004</v>
      </c>
    </row>
    <row r="14" spans="1:3" x14ac:dyDescent="0.2">
      <c r="B14" s="228"/>
      <c r="C14" s="228"/>
    </row>
    <row r="15" spans="1:3" x14ac:dyDescent="0.2">
      <c r="B15" s="275" t="s">
        <v>782</v>
      </c>
      <c r="C15" s="275"/>
    </row>
    <row r="16" spans="1:3" x14ac:dyDescent="0.2">
      <c r="A16" s="237" t="s">
        <v>786</v>
      </c>
      <c r="B16" s="273" t="s">
        <v>706</v>
      </c>
      <c r="C16" s="274"/>
    </row>
    <row r="17" spans="1:3" x14ac:dyDescent="0.2">
      <c r="B17" s="226" t="s">
        <v>54</v>
      </c>
      <c r="C17" s="226" t="s">
        <v>775</v>
      </c>
    </row>
    <row r="18" spans="1:3" x14ac:dyDescent="0.2">
      <c r="A18" s="33" t="s">
        <v>776</v>
      </c>
      <c r="B18" s="227">
        <f>'DOE25'!F198+'DOE25'!F216+'DOE25'!F234+'DOE25'!F277+'DOE25'!F296+'DOE25'!F315</f>
        <v>295830.11</v>
      </c>
      <c r="C18" s="227">
        <f>'DOE25'!G198+'DOE25'!G216+'DOE25'!G234+'DOE25'!G277+'DOE25'!G296+'DOE25'!G315</f>
        <v>110421.20999999999</v>
      </c>
    </row>
    <row r="19" spans="1:3" x14ac:dyDescent="0.2">
      <c r="A19" t="s">
        <v>778</v>
      </c>
      <c r="B19" s="238">
        <f>104312.52+17218.74+17218.74</f>
        <v>138750</v>
      </c>
      <c r="C19" s="238">
        <f>35104+7073+7073+669.6+108+108+390.24+60.72+60.72+170.57+26.84+26.84+7615.13+1242.59+1242.59+16345.94+2698.1+2698.1</f>
        <v>82713.98</v>
      </c>
    </row>
    <row r="20" spans="1:3" x14ac:dyDescent="0.2">
      <c r="A20" t="s">
        <v>779</v>
      </c>
      <c r="B20" s="238">
        <f>21830.39+135249.72</f>
        <v>157080.10999999999</v>
      </c>
      <c r="C20" s="238">
        <f>1670.02+10346.53+700.83+1829.32+12154+1006.53</f>
        <v>27707.23</v>
      </c>
    </row>
    <row r="21" spans="1:3" x14ac:dyDescent="0.2">
      <c r="A21" t="s">
        <v>780</v>
      </c>
      <c r="B21" s="238">
        <v>0</v>
      </c>
      <c r="C21" s="238">
        <v>0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295830.11</v>
      </c>
      <c r="C22" s="229">
        <f>SUM(C19:C21)</f>
        <v>110421.20999999999</v>
      </c>
    </row>
    <row r="23" spans="1:3" x14ac:dyDescent="0.2">
      <c r="B23" s="228"/>
      <c r="C23" s="228"/>
    </row>
    <row r="24" spans="1:3" x14ac:dyDescent="0.2">
      <c r="B24" s="275" t="s">
        <v>782</v>
      </c>
      <c r="C24" s="275"/>
    </row>
    <row r="25" spans="1:3" x14ac:dyDescent="0.2">
      <c r="A25" s="237" t="s">
        <v>787</v>
      </c>
      <c r="B25" s="273" t="s">
        <v>707</v>
      </c>
      <c r="C25" s="274"/>
    </row>
    <row r="26" spans="1:3" x14ac:dyDescent="0.2">
      <c r="B26" s="226" t="s">
        <v>54</v>
      </c>
      <c r="C26" s="226" t="s">
        <v>775</v>
      </c>
    </row>
    <row r="27" spans="1:3" x14ac:dyDescent="0.2">
      <c r="A27" s="33" t="s">
        <v>776</v>
      </c>
      <c r="B27" s="232">
        <f>'DOE25'!F199+'DOE25'!F217+'DOE25'!F235+'DOE25'!F278+'DOE25'!F297+'DOE25'!F316</f>
        <v>0</v>
      </c>
      <c r="C27" s="232">
        <f>'DOE25'!G199+'DOE25'!G217+'DOE25'!G235+'DOE25'!G278+'DOE25'!G297+'DOE25'!G316</f>
        <v>0</v>
      </c>
    </row>
    <row r="28" spans="1:3" x14ac:dyDescent="0.2">
      <c r="A28" t="s">
        <v>778</v>
      </c>
      <c r="B28" s="238">
        <v>0</v>
      </c>
      <c r="C28" s="238">
        <v>0</v>
      </c>
    </row>
    <row r="29" spans="1:3" x14ac:dyDescent="0.2">
      <c r="A29" t="s">
        <v>779</v>
      </c>
      <c r="B29" s="238">
        <v>0</v>
      </c>
      <c r="C29" s="238">
        <v>0</v>
      </c>
    </row>
    <row r="30" spans="1:3" x14ac:dyDescent="0.2">
      <c r="A30" t="s">
        <v>780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0</v>
      </c>
      <c r="C31" s="229">
        <f>SUM(C28:C30)</f>
        <v>0</v>
      </c>
    </row>
    <row r="33" spans="1:3" x14ac:dyDescent="0.2">
      <c r="B33" s="275" t="s">
        <v>782</v>
      </c>
      <c r="C33" s="275"/>
    </row>
    <row r="34" spans="1:3" x14ac:dyDescent="0.2">
      <c r="A34" s="237" t="s">
        <v>788</v>
      </c>
      <c r="B34" s="273" t="s">
        <v>708</v>
      </c>
      <c r="C34" s="274"/>
    </row>
    <row r="35" spans="1:3" x14ac:dyDescent="0.2">
      <c r="B35" s="226" t="s">
        <v>54</v>
      </c>
      <c r="C35" s="226" t="s">
        <v>775</v>
      </c>
    </row>
    <row r="36" spans="1:3" x14ac:dyDescent="0.2">
      <c r="A36" s="33" t="s">
        <v>776</v>
      </c>
      <c r="B36" s="233">
        <f>'DOE25'!F200+'DOE25'!F218+'DOE25'!F236+'DOE25'!F279+'DOE25'!F298+'DOE25'!F317</f>
        <v>480</v>
      </c>
      <c r="C36" s="233">
        <f>'DOE25'!G200+'DOE25'!G218+'DOE25'!G236+'DOE25'!G279+'DOE25'!G298+'DOE25'!G317</f>
        <v>72.459999999999994</v>
      </c>
    </row>
    <row r="37" spans="1:3" x14ac:dyDescent="0.2">
      <c r="A37" t="s">
        <v>778</v>
      </c>
      <c r="B37" s="238">
        <v>480</v>
      </c>
      <c r="C37" s="238">
        <v>72.459999999999994</v>
      </c>
    </row>
    <row r="38" spans="1:3" x14ac:dyDescent="0.2">
      <c r="A38" t="s">
        <v>779</v>
      </c>
      <c r="B38" s="238">
        <v>0</v>
      </c>
      <c r="C38" s="238">
        <v>0</v>
      </c>
    </row>
    <row r="39" spans="1:3" x14ac:dyDescent="0.2">
      <c r="A39" t="s">
        <v>780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480</v>
      </c>
      <c r="C40" s="229">
        <f>SUM(C37:C39)</f>
        <v>72.459999999999994</v>
      </c>
    </row>
    <row r="41" spans="1:3" x14ac:dyDescent="0.2">
      <c r="B41" s="228"/>
      <c r="C41" s="228"/>
    </row>
    <row r="42" spans="1:3" x14ac:dyDescent="0.2">
      <c r="A42" s="33" t="s">
        <v>836</v>
      </c>
      <c r="B42" s="228"/>
      <c r="C42" s="228"/>
    </row>
    <row r="43" spans="1:3" x14ac:dyDescent="0.2">
      <c r="A43" t="s">
        <v>840</v>
      </c>
      <c r="B43" s="228"/>
      <c r="C43" s="228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2" t="s">
        <v>777</v>
      </c>
    </row>
    <row r="49" spans="1:1" x14ac:dyDescent="0.2">
      <c r="A49" s="266" t="s">
        <v>843</v>
      </c>
    </row>
    <row r="50" spans="1:1" x14ac:dyDescent="0.2">
      <c r="A50" s="266" t="s">
        <v>837</v>
      </c>
    </row>
    <row r="51" spans="1:1" x14ac:dyDescent="0.2">
      <c r="A51" s="266" t="s">
        <v>844</v>
      </c>
    </row>
    <row r="52" spans="1:1" x14ac:dyDescent="0.2">
      <c r="A52" s="267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9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789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716</v>
      </c>
      <c r="B2" s="263" t="str">
        <f>'DOE25'!A2</f>
        <v>Rollinsford</v>
      </c>
      <c r="C2" s="179"/>
      <c r="D2" s="179" t="s">
        <v>791</v>
      </c>
      <c r="E2" s="179" t="s">
        <v>793</v>
      </c>
      <c r="F2" s="277" t="s">
        <v>820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792</v>
      </c>
      <c r="E3" s="179" t="s">
        <v>794</v>
      </c>
      <c r="F3" s="239" t="s">
        <v>834</v>
      </c>
      <c r="G3" s="215" t="s">
        <v>59</v>
      </c>
      <c r="H3" s="240" t="s">
        <v>797</v>
      </c>
    </row>
    <row r="4" spans="1:9" x14ac:dyDescent="0.2">
      <c r="A4" s="249" t="s">
        <v>799</v>
      </c>
      <c r="B4" s="249" t="s">
        <v>815</v>
      </c>
      <c r="C4" s="249" t="s">
        <v>790</v>
      </c>
      <c r="D4" s="249" t="s">
        <v>816</v>
      </c>
      <c r="E4" s="249" t="s">
        <v>816</v>
      </c>
      <c r="F4" s="248" t="s">
        <v>796</v>
      </c>
      <c r="G4" s="249" t="s">
        <v>810</v>
      </c>
      <c r="H4" s="250" t="s">
        <v>798</v>
      </c>
    </row>
    <row r="5" spans="1:9" x14ac:dyDescent="0.2">
      <c r="A5" s="32">
        <v>1000</v>
      </c>
      <c r="B5" t="s">
        <v>195</v>
      </c>
      <c r="C5" s="243">
        <f t="shared" ref="C5:C19" si="0">SUM(D5:H5)</f>
        <v>3682717.61</v>
      </c>
      <c r="D5" s="20">
        <f>SUM('DOE25'!L197:L200)+SUM('DOE25'!L215:L218)+SUM('DOE25'!L233:L236)-F5-G5</f>
        <v>3631230.3</v>
      </c>
      <c r="E5" s="241"/>
      <c r="F5" s="253">
        <f>SUM('DOE25'!J197:J200)+SUM('DOE25'!J215:J218)+SUM('DOE25'!J233:J236)</f>
        <v>51487.31</v>
      </c>
      <c r="G5" s="53">
        <f>SUM('DOE25'!K197:K200)+SUM('DOE25'!K215:K218)+SUM('DOE25'!K233:K236)</f>
        <v>0</v>
      </c>
      <c r="H5" s="257"/>
    </row>
    <row r="6" spans="1:9" x14ac:dyDescent="0.2">
      <c r="A6" s="32">
        <v>2100</v>
      </c>
      <c r="B6" t="s">
        <v>800</v>
      </c>
      <c r="C6" s="243">
        <f t="shared" si="0"/>
        <v>353823.81000000006</v>
      </c>
      <c r="D6" s="20">
        <f>'DOE25'!L202+'DOE25'!L220+'DOE25'!L238-F6-G6</f>
        <v>353823.81000000006</v>
      </c>
      <c r="E6" s="241"/>
      <c r="F6" s="253">
        <f>'DOE25'!J202+'DOE25'!J220+'DOE25'!J238</f>
        <v>0</v>
      </c>
      <c r="G6" s="53">
        <f>'DOE25'!K202+'DOE25'!K220+'DOE25'!K238</f>
        <v>0</v>
      </c>
      <c r="H6" s="257"/>
    </row>
    <row r="7" spans="1:9" x14ac:dyDescent="0.2">
      <c r="A7" s="32">
        <v>2200</v>
      </c>
      <c r="B7" t="s">
        <v>833</v>
      </c>
      <c r="C7" s="243">
        <f t="shared" si="0"/>
        <v>57625.170000000006</v>
      </c>
      <c r="D7" s="20">
        <f>'DOE25'!L203+'DOE25'!L221+'DOE25'!L239-F7-G7</f>
        <v>55136.51</v>
      </c>
      <c r="E7" s="241"/>
      <c r="F7" s="253">
        <f>'DOE25'!J203+'DOE25'!J221+'DOE25'!J239</f>
        <v>792.91</v>
      </c>
      <c r="G7" s="53">
        <f>'DOE25'!K203+'DOE25'!K221+'DOE25'!K239</f>
        <v>1695.75</v>
      </c>
      <c r="H7" s="257"/>
    </row>
    <row r="8" spans="1:9" x14ac:dyDescent="0.2">
      <c r="A8" s="32">
        <v>2300</v>
      </c>
      <c r="B8" t="s">
        <v>801</v>
      </c>
      <c r="C8" s="243">
        <f t="shared" si="0"/>
        <v>123974.5647635889</v>
      </c>
      <c r="D8" s="241"/>
      <c r="E8" s="20">
        <f>'DOE25'!L204+'DOE25'!L222+'DOE25'!L240-F8-G8-D9-D11</f>
        <v>120965.2647635889</v>
      </c>
      <c r="F8" s="253">
        <f>'DOE25'!J204+'DOE25'!J222+'DOE25'!J240</f>
        <v>0</v>
      </c>
      <c r="G8" s="53">
        <f>'DOE25'!K204+'DOE25'!K222+'DOE25'!K240</f>
        <v>3009.3</v>
      </c>
      <c r="H8" s="257"/>
    </row>
    <row r="9" spans="1:9" x14ac:dyDescent="0.2">
      <c r="A9" s="32">
        <v>2310</v>
      </c>
      <c r="B9" t="s">
        <v>817</v>
      </c>
      <c r="C9" s="243">
        <f t="shared" si="0"/>
        <v>20984.66</v>
      </c>
      <c r="D9" s="242">
        <f>3009.3+15275.33+2495.32+189.71+15</f>
        <v>20984.66</v>
      </c>
      <c r="E9" s="241"/>
      <c r="F9" s="256"/>
      <c r="G9" s="254"/>
      <c r="H9" s="257"/>
    </row>
    <row r="10" spans="1:9" x14ac:dyDescent="0.2">
      <c r="A10" s="32">
        <v>2317</v>
      </c>
      <c r="B10" t="s">
        <v>818</v>
      </c>
      <c r="C10" s="243">
        <f t="shared" si="0"/>
        <v>9350</v>
      </c>
      <c r="D10" s="241"/>
      <c r="E10" s="242">
        <v>9350</v>
      </c>
      <c r="F10" s="256"/>
      <c r="G10" s="254"/>
      <c r="H10" s="257"/>
    </row>
    <row r="11" spans="1:9" x14ac:dyDescent="0.2">
      <c r="A11" s="32">
        <v>2321</v>
      </c>
      <c r="B11" t="s">
        <v>830</v>
      </c>
      <c r="C11" s="243">
        <f t="shared" si="0"/>
        <v>54673.115236411104</v>
      </c>
      <c r="D11" s="242">
        <v>54673.115236411104</v>
      </c>
      <c r="E11" s="241"/>
      <c r="F11" s="256"/>
      <c r="G11" s="254"/>
      <c r="H11" s="257"/>
    </row>
    <row r="12" spans="1:9" x14ac:dyDescent="0.2">
      <c r="A12" s="32">
        <v>2400</v>
      </c>
      <c r="B12" t="s">
        <v>714</v>
      </c>
      <c r="C12" s="243">
        <f t="shared" si="0"/>
        <v>179265.15</v>
      </c>
      <c r="D12" s="20">
        <f>'DOE25'!L205+'DOE25'!L223+'DOE25'!L241-F12-G12</f>
        <v>178964.05</v>
      </c>
      <c r="E12" s="241"/>
      <c r="F12" s="253">
        <f>'DOE25'!J205+'DOE25'!J223+'DOE25'!J241</f>
        <v>301.10000000000002</v>
      </c>
      <c r="G12" s="53">
        <f>'DOE25'!K205+'DOE25'!K223+'DOE25'!K241</f>
        <v>0</v>
      </c>
      <c r="H12" s="257"/>
    </row>
    <row r="13" spans="1:9" x14ac:dyDescent="0.2">
      <c r="A13" s="32">
        <v>2500</v>
      </c>
      <c r="B13" t="s">
        <v>802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831</v>
      </c>
      <c r="C14" s="243">
        <f t="shared" si="0"/>
        <v>596111.96</v>
      </c>
      <c r="D14" s="20">
        <f>'DOE25'!L207+'DOE25'!L225+'DOE25'!L243-F14-G14</f>
        <v>584318.55999999994</v>
      </c>
      <c r="E14" s="241"/>
      <c r="F14" s="253">
        <f>'DOE25'!J207+'DOE25'!J225+'DOE25'!J243</f>
        <v>11793.4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803</v>
      </c>
      <c r="C15" s="243">
        <f t="shared" si="0"/>
        <v>292698.71000000002</v>
      </c>
      <c r="D15" s="20">
        <f>'DOE25'!L208+'DOE25'!L226+'DOE25'!L244-F15-G15</f>
        <v>292698.71000000002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804</v>
      </c>
      <c r="C16" s="243">
        <f t="shared" si="0"/>
        <v>0</v>
      </c>
      <c r="D16" s="241"/>
      <c r="E16" s="20">
        <f>'DOE25'!L209+'DOE25'!L227+'DOE25'!L245-F16-G16</f>
        <v>0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805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806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807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795</v>
      </c>
      <c r="F21" s="258"/>
      <c r="G21" s="52"/>
      <c r="H21" s="259"/>
    </row>
    <row r="22" spans="1:8" x14ac:dyDescent="0.2">
      <c r="A22" s="32">
        <v>4000</v>
      </c>
      <c r="B22" t="s">
        <v>832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463</v>
      </c>
      <c r="F24" s="258"/>
      <c r="G24" s="52"/>
      <c r="H24" s="259"/>
    </row>
    <row r="25" spans="1:8" x14ac:dyDescent="0.2">
      <c r="A25" s="32" t="s">
        <v>808</v>
      </c>
      <c r="B25" t="s">
        <v>809</v>
      </c>
      <c r="C25" s="243">
        <f>SUM(D25:H25)</f>
        <v>0</v>
      </c>
      <c r="D25" s="241"/>
      <c r="E25" s="241"/>
      <c r="F25" s="256"/>
      <c r="G25" s="254"/>
      <c r="H25" s="255">
        <f>'DOE25'!L260+'DOE25'!L261+'DOE25'!L341+'DOE25'!L342</f>
        <v>0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811</v>
      </c>
      <c r="F27" s="258"/>
      <c r="G27" s="52"/>
      <c r="H27" s="259"/>
    </row>
    <row r="28" spans="1:8" x14ac:dyDescent="0.2">
      <c r="A28" s="32">
        <v>3100</v>
      </c>
      <c r="B28" t="s">
        <v>824</v>
      </c>
      <c r="F28" s="258"/>
      <c r="G28" s="52"/>
      <c r="H28" s="259"/>
    </row>
    <row r="29" spans="1:8" x14ac:dyDescent="0.2">
      <c r="A29" s="32"/>
      <c r="B29" t="s">
        <v>812</v>
      </c>
      <c r="C29" s="243">
        <f>SUM(D29:H29)</f>
        <v>43479.869999999995</v>
      </c>
      <c r="D29" s="20">
        <f>'DOE25'!L358+'DOE25'!L359+'DOE25'!L360-'DOE25'!I367-F29-G29</f>
        <v>43479.869999999995</v>
      </c>
      <c r="E29" s="241"/>
      <c r="F29" s="253">
        <f>'DOE25'!J358+'DOE25'!J359+'DOE25'!J360</f>
        <v>0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826</v>
      </c>
      <c r="B31" t="s">
        <v>825</v>
      </c>
      <c r="C31" s="243">
        <f>SUM(D31:H31)</f>
        <v>66247.259999999995</v>
      </c>
      <c r="D31" s="20">
        <f>'DOE25'!L290+'DOE25'!L309+'DOE25'!L328+'DOE25'!L333+'DOE25'!L334+'DOE25'!L335-F31-G31</f>
        <v>64878.939999999995</v>
      </c>
      <c r="E31" s="241"/>
      <c r="F31" s="253">
        <f>'DOE25'!J290+'DOE25'!J309+'DOE25'!J328+'DOE25'!J333+'DOE25'!J334+'DOE25'!J335</f>
        <v>0</v>
      </c>
      <c r="G31" s="53">
        <f>'DOE25'!K290+'DOE25'!K309+'DOE25'!K328+'DOE25'!K333+'DOE25'!K334+'DOE25'!K335</f>
        <v>1368.32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813</v>
      </c>
      <c r="D33" s="244">
        <f>SUM(D5:D31)</f>
        <v>5280188.525236411</v>
      </c>
      <c r="E33" s="244">
        <f>SUM(E5:E31)</f>
        <v>130315.2647635889</v>
      </c>
      <c r="F33" s="244">
        <f>SUM(F5:F31)</f>
        <v>64374.720000000001</v>
      </c>
      <c r="G33" s="244">
        <f>SUM(G5:G31)</f>
        <v>6073.37</v>
      </c>
      <c r="H33" s="244">
        <f>SUM(H5:H31)</f>
        <v>0</v>
      </c>
    </row>
    <row r="35" spans="2:8" ht="12" thickBot="1" x14ac:dyDescent="0.25">
      <c r="B35" s="251" t="s">
        <v>846</v>
      </c>
      <c r="D35" s="252">
        <f>E33</f>
        <v>130315.2647635889</v>
      </c>
      <c r="E35" s="247"/>
    </row>
    <row r="36" spans="2:8" ht="12" thickTop="1" x14ac:dyDescent="0.2">
      <c r="B36" t="s">
        <v>814</v>
      </c>
      <c r="D36" s="20">
        <f>D33</f>
        <v>5280188.525236411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823</v>
      </c>
      <c r="D39" s="179" t="str">
        <f>IF(E10&gt;0,"Y","N")</f>
        <v>Y</v>
      </c>
    </row>
    <row r="41" spans="2:8" x14ac:dyDescent="0.2">
      <c r="B41" s="262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7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</v>
      </c>
      <c r="B2" s="125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4"/>
      <c r="I2" s="124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3"/>
      <c r="I5" s="123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3"/>
      <c r="I6" s="123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491570.67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2230.7199999999998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208627.06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651827.6</v>
      </c>
      <c r="D11" s="94">
        <f>'DOE25'!G12</f>
        <v>5649.18</v>
      </c>
      <c r="E11" s="94">
        <f>'DOE25'!H12</f>
        <v>378344.22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0</v>
      </c>
      <c r="E12" s="94">
        <f>'DOE25'!H13</f>
        <v>14202.51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3075.47</v>
      </c>
      <c r="D13" s="94">
        <f>'DOE25'!G14</f>
        <v>284718.15000000002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4">
        <f>'DOE25'!I15</f>
        <v>0</v>
      </c>
      <c r="G14" s="24" t="s">
        <v>288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288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1148704.46</v>
      </c>
      <c r="D18" s="41">
        <f>SUM(D8:D17)</f>
        <v>290367.33</v>
      </c>
      <c r="E18" s="41">
        <f>SUM(E8:E17)</f>
        <v>392546.73</v>
      </c>
      <c r="F18" s="41">
        <f>SUM(F8:F17)</f>
        <v>0</v>
      </c>
      <c r="G18" s="41">
        <f>SUM(G8:G17)</f>
        <v>208627.06</v>
      </c>
      <c r="H18" s="123"/>
      <c r="I18" s="123"/>
    </row>
    <row r="19" spans="1:9" x14ac:dyDescent="0.2">
      <c r="A19" s="1" t="s">
        <v>302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688971.84000000008</v>
      </c>
      <c r="D21" s="94">
        <f>'DOE25'!G22</f>
        <v>284023.99</v>
      </c>
      <c r="E21" s="94">
        <f>'DOE25'!H22</f>
        <v>391894.14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228032.25</v>
      </c>
      <c r="D23" s="94">
        <f>'DOE25'!G24</f>
        <v>11.3</v>
      </c>
      <c r="E23" s="94">
        <f>'DOE25'!H24</f>
        <v>652.59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288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288</v>
      </c>
      <c r="E25" s="24" t="s">
        <v>288</v>
      </c>
      <c r="F25" s="94">
        <f>'DOE25'!I26</f>
        <v>0</v>
      </c>
      <c r="G25" s="24" t="s">
        <v>288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288</v>
      </c>
      <c r="E26" s="24" t="s">
        <v>288</v>
      </c>
      <c r="F26" s="94">
        <f>'DOE25'!I27</f>
        <v>0</v>
      </c>
      <c r="G26" s="24" t="s">
        <v>288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288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288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1531.55</v>
      </c>
      <c r="E29" s="94">
        <f>'DOE25'!H30</f>
        <v>0</v>
      </c>
      <c r="F29" s="94">
        <f>'DOE25'!I30</f>
        <v>0</v>
      </c>
      <c r="G29" s="24" t="s">
        <v>288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917004.09000000008</v>
      </c>
      <c r="D31" s="41">
        <f>SUM(D21:D30)</f>
        <v>285566.83999999997</v>
      </c>
      <c r="E31" s="41">
        <f>SUM(E21:E30)</f>
        <v>392546.73000000004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3"/>
      <c r="I32" s="123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3"/>
      <c r="I33" s="123"/>
    </row>
    <row r="34" spans="1:9" x14ac:dyDescent="0.2">
      <c r="A34" s="1" t="s">
        <v>864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288</v>
      </c>
      <c r="H34" s="123"/>
      <c r="I34" s="123"/>
    </row>
    <row r="35" spans="1:9" x14ac:dyDescent="0.2">
      <c r="A35" s="1" t="s">
        <v>865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288</v>
      </c>
      <c r="H35" s="123"/>
      <c r="I35" s="123"/>
    </row>
    <row r="36" spans="1:9" x14ac:dyDescent="0.2">
      <c r="A36" s="1" t="s">
        <v>871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3"/>
      <c r="I37" s="123"/>
    </row>
    <row r="38" spans="1:9" x14ac:dyDescent="0.2">
      <c r="A38" s="1" t="s">
        <v>872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876</v>
      </c>
      <c r="B39" s="6"/>
      <c r="C39" s="24" t="s">
        <v>288</v>
      </c>
      <c r="D39" s="94">
        <f>'DOE25'!G40</f>
        <v>0</v>
      </c>
      <c r="E39" s="24" t="s">
        <v>288</v>
      </c>
      <c r="F39" s="24" t="s">
        <v>288</v>
      </c>
      <c r="G39" s="24" t="s">
        <v>288</v>
      </c>
      <c r="H39" s="123"/>
      <c r="I39" s="123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4">
        <f>'DOE25'!I41</f>
        <v>0</v>
      </c>
      <c r="G40" s="24" t="s">
        <v>288</v>
      </c>
      <c r="H40" s="123"/>
      <c r="I40" s="123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3"/>
      <c r="I41" s="123"/>
    </row>
    <row r="42" spans="1:9" x14ac:dyDescent="0.2">
      <c r="A42" s="1" t="s">
        <v>877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878</v>
      </c>
      <c r="B43" s="6">
        <v>755</v>
      </c>
      <c r="C43" s="94">
        <f>'DOE25'!F44</f>
        <v>50000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288</v>
      </c>
      <c r="H43" s="123"/>
      <c r="I43" s="123"/>
    </row>
    <row r="44" spans="1:9" x14ac:dyDescent="0.2">
      <c r="A44" s="1" t="s">
        <v>879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895</v>
      </c>
      <c r="B45" s="6"/>
      <c r="C45" s="94">
        <f>'DOE25'!F46</f>
        <v>81700.37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3"/>
      <c r="I45" s="123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3"/>
      <c r="I46" s="123"/>
    </row>
    <row r="47" spans="1:9" x14ac:dyDescent="0.2">
      <c r="A47" s="1" t="s">
        <v>896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208627.06</v>
      </c>
      <c r="H47" s="123"/>
      <c r="I47" s="123"/>
    </row>
    <row r="48" spans="1:9" x14ac:dyDescent="0.2">
      <c r="A48" s="1" t="s">
        <v>897</v>
      </c>
      <c r="B48" s="6">
        <v>753</v>
      </c>
      <c r="C48" s="94">
        <f>'DOE25'!F49</f>
        <v>0</v>
      </c>
      <c r="D48" s="94">
        <f>'DOE25'!G49</f>
        <v>4800.49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898</v>
      </c>
      <c r="B49" s="70">
        <v>770</v>
      </c>
      <c r="C49" s="94">
        <f>'DOE25'!F50</f>
        <v>100000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3"/>
      <c r="I49" s="123"/>
    </row>
    <row r="50" spans="1:9" ht="12.75" thickTop="1" thickBot="1" x14ac:dyDescent="0.25">
      <c r="A50" s="38" t="s">
        <v>899</v>
      </c>
      <c r="B50" s="48"/>
      <c r="C50" s="41">
        <f>SUM(C34:C49)</f>
        <v>231700.37</v>
      </c>
      <c r="D50" s="41">
        <f>SUM(D34:D49)</f>
        <v>4800.49</v>
      </c>
      <c r="E50" s="41">
        <f>SUM(E34:E49)</f>
        <v>0</v>
      </c>
      <c r="F50" s="41">
        <f>SUM(F34:F49)</f>
        <v>0</v>
      </c>
      <c r="G50" s="41">
        <f>SUM(G34:G49)</f>
        <v>208627.06</v>
      </c>
      <c r="H50" s="123"/>
      <c r="I50" s="123"/>
    </row>
    <row r="51" spans="1:9" ht="12" thickTop="1" x14ac:dyDescent="0.2">
      <c r="A51" s="38" t="s">
        <v>900</v>
      </c>
      <c r="B51" s="2"/>
      <c r="C51" s="41">
        <f>C50+C31</f>
        <v>1148704.46</v>
      </c>
      <c r="D51" s="41">
        <f>D50+D31</f>
        <v>290367.32999999996</v>
      </c>
      <c r="E51" s="41">
        <f>E50+E31</f>
        <v>392546.73000000004</v>
      </c>
      <c r="F51" s="41">
        <f>F50+F31</f>
        <v>0</v>
      </c>
      <c r="G51" s="41">
        <f>G50+G31</f>
        <v>208627.06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6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7" t="s">
        <v>161</v>
      </c>
      <c r="B55" s="126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4262083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0</v>
      </c>
      <c r="D57" s="24" t="s">
        <v>288</v>
      </c>
      <c r="E57" s="94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288</v>
      </c>
      <c r="E58" s="94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82.5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18.97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288</v>
      </c>
      <c r="D60" s="94">
        <f>'DOE25'!G97</f>
        <v>18206.54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9620.42</v>
      </c>
      <c r="D61" s="94">
        <f>SUM('DOE25'!G98:G110)</f>
        <v>0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9702.92</v>
      </c>
      <c r="D62" s="129">
        <f>SUM(D57:D61)</f>
        <v>18206.54</v>
      </c>
      <c r="E62" s="129">
        <f>SUM(E57:E61)</f>
        <v>0</v>
      </c>
      <c r="F62" s="129">
        <f>SUM(F57:F61)</f>
        <v>0</v>
      </c>
      <c r="G62" s="129">
        <f>SUM(G57:G61)</f>
        <v>18.97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4271785.92</v>
      </c>
      <c r="D63" s="22">
        <f>D56+D62</f>
        <v>18206.54</v>
      </c>
      <c r="E63" s="22">
        <f>E56+E62</f>
        <v>0</v>
      </c>
      <c r="F63" s="22">
        <f>F56+F62</f>
        <v>0</v>
      </c>
      <c r="G63" s="22">
        <f>G56+G62</f>
        <v>18.97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4">
        <f>'DOE25'!F117</f>
        <v>503519.97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4">
        <f>'DOE25'!F118</f>
        <v>584130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1087649.97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0</v>
      </c>
      <c r="D72" s="24" t="s">
        <v>288</v>
      </c>
      <c r="E72" s="24" t="s">
        <v>288</v>
      </c>
      <c r="F72" s="94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288</v>
      </c>
      <c r="E73" s="24" t="s">
        <v>288</v>
      </c>
      <c r="F73" s="94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43906.98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14825.06</v>
      </c>
      <c r="D76" s="24" t="s">
        <v>288</v>
      </c>
      <c r="E76" s="94">
        <f>SUM('DOE25'!H127:H130)</f>
        <v>0</v>
      </c>
      <c r="F76" s="94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487.85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58732.04</v>
      </c>
      <c r="D78" s="129">
        <f>SUM(D72:D77)</f>
        <v>487.85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4">
        <f>'DOE25'!F138</f>
        <v>0</v>
      </c>
      <c r="D80" s="24" t="s">
        <v>288</v>
      </c>
      <c r="E80" s="94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29">
        <f>SUM(C79:C80)+C78+C70</f>
        <v>1146382.01</v>
      </c>
      <c r="D81" s="129">
        <f>SUM(D79:D80)+D78+D70</f>
        <v>487.85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6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7" t="s">
        <v>181</v>
      </c>
      <c r="B84" s="126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4">
        <f>SUM('DOE25'!F149:F152)</f>
        <v>0</v>
      </c>
      <c r="D87" s="24" t="s">
        <v>288</v>
      </c>
      <c r="E87" s="94">
        <f>SUM('DOE25'!H149:H152)</f>
        <v>0</v>
      </c>
      <c r="F87" s="94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4">
        <f>SUM('DOE25'!F153:F161)</f>
        <v>0</v>
      </c>
      <c r="D88" s="94">
        <f>SUM('DOE25'!G153:G161)</f>
        <v>11601.38</v>
      </c>
      <c r="E88" s="94">
        <f>SUM('DOE25'!H153:H161)</f>
        <v>66247.259999999995</v>
      </c>
      <c r="F88" s="94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4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0">
        <f>SUM(C85:C90)</f>
        <v>0</v>
      </c>
      <c r="D91" s="130">
        <f>SUM(D85:D90)</f>
        <v>11601.38</v>
      </c>
      <c r="E91" s="130">
        <f>SUM(E85:E90)</f>
        <v>66247.259999999995</v>
      </c>
      <c r="F91" s="130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4">
        <f>SUM('DOE25'!F173:F175)</f>
        <v>0</v>
      </c>
      <c r="D93" s="24" t="s">
        <v>288</v>
      </c>
      <c r="E93" s="24" t="s">
        <v>288</v>
      </c>
      <c r="F93" s="94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4">
        <f>'DOE25'!F176</f>
        <v>0</v>
      </c>
      <c r="D94" s="24" t="s">
        <v>288</v>
      </c>
      <c r="E94" s="24" t="s">
        <v>288</v>
      </c>
      <c r="F94" s="94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4">
        <f>'DOE25'!G179</f>
        <v>15000</v>
      </c>
      <c r="E96" s="94">
        <f>'DOE25'!H179</f>
        <v>0</v>
      </c>
      <c r="F96" s="94">
        <f>'DOE25'!I179</f>
        <v>0</v>
      </c>
      <c r="G96" s="94">
        <f>'DOE25'!J179</f>
        <v>50000</v>
      </c>
    </row>
    <row r="97" spans="1:7" x14ac:dyDescent="0.2">
      <c r="A97" t="s">
        <v>757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758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288</v>
      </c>
      <c r="G98" s="94">
        <f>'DOE25'!J182</f>
        <v>0</v>
      </c>
    </row>
    <row r="99" spans="1:7" x14ac:dyDescent="0.2">
      <c r="A99" t="s">
        <v>759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5">
        <f>SUM(C93:C102)</f>
        <v>0</v>
      </c>
      <c r="D103" s="85">
        <f>SUM(D93:D102)</f>
        <v>15000</v>
      </c>
      <c r="E103" s="85">
        <f>SUM(E93:E102)</f>
        <v>0</v>
      </c>
      <c r="F103" s="85">
        <f>SUM(F93:F102)</f>
        <v>0</v>
      </c>
      <c r="G103" s="85">
        <f>SUM(G93:G102)</f>
        <v>50000</v>
      </c>
    </row>
    <row r="104" spans="1:7" ht="12.75" thickTop="1" thickBot="1" x14ac:dyDescent="0.25">
      <c r="A104" s="33" t="s">
        <v>764</v>
      </c>
      <c r="C104" s="85">
        <f>C63+C81+C91+C103</f>
        <v>5418167.9299999997</v>
      </c>
      <c r="D104" s="85">
        <f>D63+D81+D91+D103</f>
        <v>45295.77</v>
      </c>
      <c r="E104" s="85">
        <f>E63+E81+E91+E103</f>
        <v>66247.259999999995</v>
      </c>
      <c r="F104" s="85">
        <f>F63+F81+F91+F103</f>
        <v>0</v>
      </c>
      <c r="G104" s="85">
        <f>G63+G81+G103</f>
        <v>50018.97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6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7" t="s">
        <v>195</v>
      </c>
      <c r="B108" s="126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2644748.6500000004</v>
      </c>
      <c r="D109" s="24" t="s">
        <v>288</v>
      </c>
      <c r="E109" s="94">
        <f>('DOE25'!L276)+('DOE25'!L295)+('DOE25'!L314)</f>
        <v>31436.089999999997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1037416.4999999999</v>
      </c>
      <c r="D110" s="24" t="s">
        <v>288</v>
      </c>
      <c r="E110" s="94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0</v>
      </c>
      <c r="D111" s="24" t="s">
        <v>288</v>
      </c>
      <c r="E111" s="94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552.46</v>
      </c>
      <c r="D112" s="24" t="s">
        <v>288</v>
      </c>
      <c r="E112" s="94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288</v>
      </c>
      <c r="E113" s="94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288</v>
      </c>
      <c r="E114" s="94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5">
        <f>SUM(C109:C114)</f>
        <v>3682717.6100000003</v>
      </c>
      <c r="D115" s="85">
        <f>SUM(D109:D114)</f>
        <v>0</v>
      </c>
      <c r="E115" s="85">
        <f>SUM(E109:E114)</f>
        <v>31436.089999999997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353823.81000000006</v>
      </c>
      <c r="D118" s="24" t="s">
        <v>288</v>
      </c>
      <c r="E118" s="94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57625.170000000006</v>
      </c>
      <c r="D119" s="24" t="s">
        <v>288</v>
      </c>
      <c r="E119" s="94">
        <f>+('DOE25'!L282)+('DOE25'!L301)+('DOE25'!L320)</f>
        <v>31272.85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199632.34</v>
      </c>
      <c r="D120" s="24" t="s">
        <v>288</v>
      </c>
      <c r="E120" s="94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179265.15</v>
      </c>
      <c r="D121" s="24" t="s">
        <v>288</v>
      </c>
      <c r="E121" s="94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288</v>
      </c>
      <c r="E122" s="94">
        <f>+('DOE25'!L285)+('DOE25'!L304)+('DOE25'!L323)</f>
        <v>3538.3199999999997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596111.96</v>
      </c>
      <c r="D123" s="24" t="s">
        <v>288</v>
      </c>
      <c r="E123" s="94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292698.71000000002</v>
      </c>
      <c r="D124" s="24" t="s">
        <v>288</v>
      </c>
      <c r="E124" s="94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0</v>
      </c>
      <c r="D125" s="24" t="s">
        <v>288</v>
      </c>
      <c r="E125" s="94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4">
        <f>('DOE25'!L358)+('DOE25'!L359)+('DOE25'!L360)</f>
        <v>43479.869999999995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5">
        <f>SUM(C118:C127)</f>
        <v>1679157.1400000001</v>
      </c>
      <c r="D128" s="85">
        <f>SUM(D118:D127)</f>
        <v>43479.869999999995</v>
      </c>
      <c r="E128" s="85">
        <f>SUM(E118:E127)</f>
        <v>34811.17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288</v>
      </c>
      <c r="E130" s="128">
        <f>'DOE25'!L336</f>
        <v>0</v>
      </c>
      <c r="F130" s="128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4">
        <f>'DOE25'!L260</f>
        <v>0</v>
      </c>
      <c r="D131" s="24" t="s">
        <v>288</v>
      </c>
      <c r="E131" s="128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4">
        <f>'DOE25'!L261</f>
        <v>0</v>
      </c>
      <c r="D132" s="24" t="s">
        <v>288</v>
      </c>
      <c r="E132" s="128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15000</v>
      </c>
      <c r="D135" s="24" t="s">
        <v>288</v>
      </c>
      <c r="E135" s="128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288</v>
      </c>
      <c r="E137" s="128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4">
        <f>'DOE25'!L393</f>
        <v>50018.97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4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4">
        <f>('DOE25'!L266+'DOE25'!K347) - (C138+C139+C140)</f>
        <v>-18.970000000001164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288</v>
      </c>
      <c r="E142" s="128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288</v>
      </c>
      <c r="E143" s="128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0">
        <f>SUM(C130:C143)</f>
        <v>65000</v>
      </c>
      <c r="D144" s="140">
        <f>SUM(D130:D143)</f>
        <v>0</v>
      </c>
      <c r="E144" s="140">
        <f>SUM(E130:E143)</f>
        <v>0</v>
      </c>
      <c r="F144" s="140">
        <f>SUM(F130:F143)</f>
        <v>0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5426874.75</v>
      </c>
      <c r="D145" s="85">
        <f>(D115+D128+D144)</f>
        <v>43479.869999999995</v>
      </c>
      <c r="E145" s="85">
        <f>(E115+E128+E144)</f>
        <v>66247.259999999995</v>
      </c>
      <c r="F145" s="85">
        <f>(F115+F128+F144)</f>
        <v>0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5" t="s">
        <v>27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288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</v>
      </c>
      <c r="E152" s="150" t="str">
        <f>'DOE25'!I491</f>
        <v>0</v>
      </c>
      <c r="F152" s="150" t="str">
        <f>'DOE25'!J491</f>
        <v>0</v>
      </c>
      <c r="G152" s="24" t="s">
        <v>288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</v>
      </c>
      <c r="E153" s="150" t="str">
        <f>'DOE25'!I492</f>
        <v>0</v>
      </c>
      <c r="F153" s="150" t="str">
        <f>'DOE25'!J492</f>
        <v>0</v>
      </c>
      <c r="G153" s="24" t="s">
        <v>288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288</v>
      </c>
    </row>
    <row r="155" spans="1:9" x14ac:dyDescent="0.2">
      <c r="A155" s="135" t="s">
        <v>31</v>
      </c>
      <c r="B155" s="136" t="str">
        <f>'DOE25'!F494</f>
        <v>0</v>
      </c>
      <c r="C155" s="136" t="str">
        <f>'DOE25'!G494</f>
        <v>0</v>
      </c>
      <c r="D155" s="136" t="str">
        <f>'DOE25'!H494</f>
        <v>0</v>
      </c>
      <c r="E155" s="136" t="str">
        <f>'DOE25'!I494</f>
        <v>0</v>
      </c>
      <c r="F155" s="136" t="str">
        <f>'DOE25'!J494</f>
        <v>0</v>
      </c>
      <c r="G155" s="24" t="s">
        <v>288</v>
      </c>
    </row>
    <row r="156" spans="1:9" x14ac:dyDescent="0.2">
      <c r="A156" s="22" t="s">
        <v>32</v>
      </c>
      <c r="B156" s="136" t="str">
        <f>'DOE25'!F495</f>
        <v>0</v>
      </c>
      <c r="C156" s="136" t="str">
        <f>'DOE25'!G495</f>
        <v>0</v>
      </c>
      <c r="D156" s="136" t="str">
        <f>'DOE25'!H495</f>
        <v>0</v>
      </c>
      <c r="E156" s="136" t="str">
        <f>'DOE25'!I495</f>
        <v>0</v>
      </c>
      <c r="F156" s="136" t="str">
        <f>'DOE25'!J495</f>
        <v>0</v>
      </c>
      <c r="G156" s="137">
        <f>SUM(B156:F156)</f>
        <v>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 t="str">
        <f>'DOE25'!F497</f>
        <v>0</v>
      </c>
      <c r="C158" s="136" t="str">
        <f>'DOE25'!G497</f>
        <v>0</v>
      </c>
      <c r="D158" s="136" t="str">
        <f>'DOE25'!H497</f>
        <v>0</v>
      </c>
      <c r="E158" s="136" t="str">
        <f>'DOE25'!I497</f>
        <v>0</v>
      </c>
      <c r="F158" s="136" t="str">
        <f>'DOE25'!J497</f>
        <v>0</v>
      </c>
      <c r="G158" s="137">
        <f t="shared" si="0"/>
        <v>0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739</v>
      </c>
      <c r="B1" s="281"/>
      <c r="C1" s="281"/>
      <c r="D1" s="281"/>
    </row>
    <row r="2" spans="1:4" x14ac:dyDescent="0.2">
      <c r="A2" s="185" t="s">
        <v>716</v>
      </c>
      <c r="B2" s="184" t="str">
        <f>'DOE25'!A2</f>
        <v>Rollinsford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19247</v>
      </c>
    </row>
    <row r="5" spans="1:4" x14ac:dyDescent="0.2">
      <c r="B5" t="s">
        <v>703</v>
      </c>
      <c r="C5" s="177">
        <f>IF('DOE25'!G665+'DOE25'!G670=0,0,ROUND('DOE25'!G672,0))</f>
        <v>0</v>
      </c>
    </row>
    <row r="6" spans="1:4" x14ac:dyDescent="0.2">
      <c r="B6" t="s">
        <v>62</v>
      </c>
      <c r="C6" s="177">
        <f>IF('DOE25'!H665+'DOE25'!H670=0,0,ROUND('DOE25'!H672,0))</f>
        <v>0</v>
      </c>
    </row>
    <row r="7" spans="1:4" x14ac:dyDescent="0.2">
      <c r="B7" t="s">
        <v>704</v>
      </c>
      <c r="C7" s="177">
        <f>IF('DOE25'!I665+'DOE25'!I670=0,0,ROUND('DOE25'!I672,0))</f>
        <v>19247</v>
      </c>
    </row>
    <row r="9" spans="1:4" x14ac:dyDescent="0.2">
      <c r="A9" s="185" t="s">
        <v>94</v>
      </c>
      <c r="B9" s="186" t="s">
        <v>909</v>
      </c>
      <c r="C9" s="179" t="s">
        <v>723</v>
      </c>
      <c r="D9" s="179" t="s">
        <v>724</v>
      </c>
    </row>
    <row r="10" spans="1:4" x14ac:dyDescent="0.2">
      <c r="A10">
        <v>1100</v>
      </c>
      <c r="B10" t="s">
        <v>705</v>
      </c>
      <c r="C10" s="177">
        <f>ROUND('DOE25'!L197+'DOE25'!L215+'DOE25'!L233+'DOE25'!L276+'DOE25'!L295+'DOE25'!L314,0)</f>
        <v>2676185</v>
      </c>
      <c r="D10" s="180">
        <f>ROUND((C10/$C$28)*100,1)</f>
        <v>49.1</v>
      </c>
    </row>
    <row r="11" spans="1:4" x14ac:dyDescent="0.2">
      <c r="A11">
        <v>1200</v>
      </c>
      <c r="B11" t="s">
        <v>706</v>
      </c>
      <c r="C11" s="177">
        <f>ROUND('DOE25'!L198+'DOE25'!L216+'DOE25'!L234+'DOE25'!L277+'DOE25'!L296+'DOE25'!L315,0)</f>
        <v>1037417</v>
      </c>
      <c r="D11" s="180">
        <f>ROUND((C11/$C$28)*100,1)</f>
        <v>19</v>
      </c>
    </row>
    <row r="12" spans="1:4" x14ac:dyDescent="0.2">
      <c r="A12">
        <v>1300</v>
      </c>
      <c r="B12" t="s">
        <v>707</v>
      </c>
      <c r="C12" s="177">
        <f>ROUND('DOE25'!L199+'DOE25'!L217+'DOE25'!L235+'DOE25'!L278+'DOE25'!L297+'DOE25'!L316,0)</f>
        <v>0</v>
      </c>
      <c r="D12" s="180">
        <f>ROUND((C12/$C$28)*100,1)</f>
        <v>0</v>
      </c>
    </row>
    <row r="13" spans="1:4" x14ac:dyDescent="0.2">
      <c r="A13">
        <v>1400</v>
      </c>
      <c r="B13" t="s">
        <v>708</v>
      </c>
      <c r="C13" s="177">
        <f>ROUND('DOE25'!L200+'DOE25'!L218+'DOE25'!L236+'DOE25'!L279+'DOE25'!L298+'DOE25'!L317,0)</f>
        <v>552</v>
      </c>
      <c r="D13" s="180">
        <f>ROUND((C13/$C$28)*100,1)</f>
        <v>0</v>
      </c>
    </row>
    <row r="14" spans="1:4" x14ac:dyDescent="0.2">
      <c r="D14" s="180"/>
    </row>
    <row r="15" spans="1:4" x14ac:dyDescent="0.2">
      <c r="A15">
        <v>2100</v>
      </c>
      <c r="B15" t="s">
        <v>709</v>
      </c>
      <c r="C15" s="177">
        <f>ROUND('DOE25'!L202+'DOE25'!L220+'DOE25'!L238+'DOE25'!L281+'DOE25'!L300+'DOE25'!L319,0)</f>
        <v>353824</v>
      </c>
      <c r="D15" s="180">
        <f t="shared" ref="D15:D27" si="0">ROUND((C15/$C$28)*100,1)</f>
        <v>6.5</v>
      </c>
    </row>
    <row r="16" spans="1:4" x14ac:dyDescent="0.2">
      <c r="A16">
        <v>2200</v>
      </c>
      <c r="B16" t="s">
        <v>710</v>
      </c>
      <c r="C16" s="177">
        <f>ROUND('DOE25'!L203+'DOE25'!L221+'DOE25'!L239+'DOE25'!L282+'DOE25'!L301+'DOE25'!L320,0)</f>
        <v>88898</v>
      </c>
      <c r="D16" s="180">
        <f t="shared" si="0"/>
        <v>1.6</v>
      </c>
    </row>
    <row r="17" spans="1:4" x14ac:dyDescent="0.2">
      <c r="A17" s="181" t="s">
        <v>726</v>
      </c>
      <c r="B17" t="s">
        <v>741</v>
      </c>
      <c r="C17" s="177">
        <f>ROUND('DOE25'!L204+'DOE25'!L209+'DOE25'!L222+'DOE25'!L227+'DOE25'!L240+'DOE25'!L245+'DOE25'!L283+'DOE25'!L288+'DOE25'!L302+'DOE25'!L307+'DOE25'!L321+'DOE25'!L326,0)</f>
        <v>199632</v>
      </c>
      <c r="D17" s="180">
        <f t="shared" si="0"/>
        <v>3.7</v>
      </c>
    </row>
    <row r="18" spans="1:4" x14ac:dyDescent="0.2">
      <c r="A18">
        <v>2400</v>
      </c>
      <c r="B18" t="s">
        <v>714</v>
      </c>
      <c r="C18" s="177">
        <f>ROUND('DOE25'!L205+'DOE25'!L223+'DOE25'!L241+'DOE25'!L284+'DOE25'!L303+'DOE25'!L322,0)</f>
        <v>179265</v>
      </c>
      <c r="D18" s="180">
        <f t="shared" si="0"/>
        <v>3.3</v>
      </c>
    </row>
    <row r="19" spans="1:4" x14ac:dyDescent="0.2">
      <c r="A19">
        <v>2500</v>
      </c>
      <c r="B19" t="s">
        <v>711</v>
      </c>
      <c r="C19" s="177">
        <f>ROUND('DOE25'!L206+'DOE25'!L224+'DOE25'!L242+'DOE25'!L285+'DOE25'!L304+'DOE25'!L323,0)</f>
        <v>3538</v>
      </c>
      <c r="D19" s="180">
        <f t="shared" si="0"/>
        <v>0.1</v>
      </c>
    </row>
    <row r="20" spans="1:4" x14ac:dyDescent="0.2">
      <c r="A20">
        <v>2600</v>
      </c>
      <c r="B20" t="s">
        <v>712</v>
      </c>
      <c r="C20" s="177">
        <f>ROUND('DOE25'!L207+'DOE25'!L225+'DOE25'!L243+'DOE25'!L286+'DOE25'!L305+'DOE25'!L324,0)</f>
        <v>596112</v>
      </c>
      <c r="D20" s="180">
        <f t="shared" si="0"/>
        <v>10.9</v>
      </c>
    </row>
    <row r="21" spans="1:4" x14ac:dyDescent="0.2">
      <c r="A21">
        <v>2700</v>
      </c>
      <c r="B21" t="s">
        <v>713</v>
      </c>
      <c r="C21" s="177">
        <f>ROUND('DOE25'!L208+'DOE25'!L226+'DOE25'!L244+'DOE25'!L287+'DOE25'!L306+'DOE25'!L325,0)</f>
        <v>292699</v>
      </c>
      <c r="D21" s="180">
        <f t="shared" si="0"/>
        <v>5.4</v>
      </c>
    </row>
    <row r="22" spans="1:4" x14ac:dyDescent="0.2">
      <c r="A22">
        <v>2900</v>
      </c>
      <c r="B22" t="s">
        <v>715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717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725</v>
      </c>
      <c r="B24" t="s">
        <v>718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719</v>
      </c>
      <c r="C25" s="177">
        <f>ROUND('DOE25'!L261+'DOE25'!L342,0)</f>
        <v>0</v>
      </c>
      <c r="D25" s="180">
        <f t="shared" si="0"/>
        <v>0</v>
      </c>
    </row>
    <row r="26" spans="1:4" x14ac:dyDescent="0.2">
      <c r="A26" s="181" t="s">
        <v>720</v>
      </c>
      <c r="B26" t="s">
        <v>721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25273.46</v>
      </c>
      <c r="D27" s="180">
        <f t="shared" si="0"/>
        <v>0.5</v>
      </c>
    </row>
    <row r="28" spans="1:4" x14ac:dyDescent="0.2">
      <c r="B28" s="185" t="s">
        <v>722</v>
      </c>
      <c r="C28" s="178">
        <f>SUM(C10:C27)</f>
        <v>5453395.46</v>
      </c>
      <c r="D28" s="182">
        <f>ROUND(SUM(D10:D27),0)</f>
        <v>100</v>
      </c>
    </row>
    <row r="29" spans="1:4" x14ac:dyDescent="0.2">
      <c r="A29">
        <v>4000</v>
      </c>
      <c r="B29" t="s">
        <v>727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728</v>
      </c>
      <c r="C30" s="178">
        <f>SUM(C28:C29)</f>
        <v>5453395.46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729</v>
      </c>
      <c r="C32" s="178">
        <f>ROUND('DOE25'!L260+'DOE25'!L341,0)</f>
        <v>0</v>
      </c>
    </row>
    <row r="34" spans="1:4" x14ac:dyDescent="0.2">
      <c r="A34" s="185" t="s">
        <v>94</v>
      </c>
      <c r="B34" s="186" t="s">
        <v>910</v>
      </c>
      <c r="C34" s="179" t="s">
        <v>723</v>
      </c>
      <c r="D34" s="179" t="s">
        <v>724</v>
      </c>
    </row>
    <row r="35" spans="1:4" x14ac:dyDescent="0.2">
      <c r="A35">
        <v>1100</v>
      </c>
      <c r="B35" s="183" t="s">
        <v>730</v>
      </c>
      <c r="C35" s="177">
        <f>ROUND('DOE25'!F60+'DOE25'!G60+'DOE25'!H60+'DOE25'!I60+'DOE25'!J60,0)</f>
        <v>4262083</v>
      </c>
      <c r="D35" s="180">
        <f t="shared" ref="D35:D40" si="1">ROUND((C35/$C$41)*100,1)</f>
        <v>77.5</v>
      </c>
    </row>
    <row r="36" spans="1:4" x14ac:dyDescent="0.2">
      <c r="B36" s="183" t="s">
        <v>742</v>
      </c>
      <c r="C36" s="177">
        <f>SUM('DOE25'!F112:J112)-SUM('DOE25'!G97:G110)+('DOE25'!F174+'DOE25'!F175+'DOE25'!I174+'DOE25'!I175)-C35</f>
        <v>9721.8899999996647</v>
      </c>
      <c r="D36" s="180">
        <f t="shared" si="1"/>
        <v>0.2</v>
      </c>
    </row>
    <row r="37" spans="1:4" x14ac:dyDescent="0.2">
      <c r="A37" s="181" t="s">
        <v>850</v>
      </c>
      <c r="B37" s="183" t="s">
        <v>731</v>
      </c>
      <c r="C37" s="177">
        <f>ROUND('DOE25'!F117+'DOE25'!F118,0)</f>
        <v>1087650</v>
      </c>
      <c r="D37" s="180">
        <f t="shared" si="1"/>
        <v>19.8</v>
      </c>
    </row>
    <row r="38" spans="1:4" x14ac:dyDescent="0.2">
      <c r="A38" s="181" t="s">
        <v>737</v>
      </c>
      <c r="B38" s="183" t="s">
        <v>732</v>
      </c>
      <c r="C38" s="177">
        <f>ROUND(SUM('DOE25'!F140:J140)-SUM('DOE25'!F117:F119),0)</f>
        <v>59220</v>
      </c>
      <c r="D38" s="180">
        <f t="shared" si="1"/>
        <v>1.1000000000000001</v>
      </c>
    </row>
    <row r="39" spans="1:4" x14ac:dyDescent="0.2">
      <c r="A39">
        <v>4000</v>
      </c>
      <c r="B39" s="183" t="s">
        <v>733</v>
      </c>
      <c r="C39" s="177">
        <f>ROUND('DOE25'!F169+'DOE25'!G169+'DOE25'!H169+'DOE25'!I169,0)</f>
        <v>77849</v>
      </c>
      <c r="D39" s="180">
        <f t="shared" si="1"/>
        <v>1.4</v>
      </c>
    </row>
    <row r="40" spans="1:4" x14ac:dyDescent="0.2">
      <c r="A40" s="181" t="s">
        <v>738</v>
      </c>
      <c r="B40" s="183" t="s">
        <v>734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735</v>
      </c>
      <c r="C41" s="178">
        <f>SUM(C35:C40)</f>
        <v>5496523.8899999997</v>
      </c>
      <c r="D41" s="182">
        <f>SUM(D35:D40)</f>
        <v>100</v>
      </c>
    </row>
    <row r="42" spans="1:4" x14ac:dyDescent="0.2">
      <c r="A42" s="181" t="s">
        <v>740</v>
      </c>
      <c r="B42" s="183" t="s">
        <v>736</v>
      </c>
      <c r="C42" s="177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769</v>
      </c>
      <c r="B1" s="287"/>
      <c r="C1" s="287"/>
      <c r="D1" s="287"/>
      <c r="E1" s="287"/>
      <c r="F1" s="287"/>
      <c r="G1" s="287"/>
      <c r="H1" s="287"/>
      <c r="I1" s="287"/>
      <c r="J1" s="211"/>
      <c r="K1" s="211"/>
      <c r="L1" s="211"/>
      <c r="M1" s="212"/>
    </row>
    <row r="2" spans="1:26" ht="12.75" x14ac:dyDescent="0.2">
      <c r="A2" s="292" t="s">
        <v>766</v>
      </c>
      <c r="B2" s="293"/>
      <c r="C2" s="293"/>
      <c r="D2" s="293"/>
      <c r="E2" s="293"/>
      <c r="F2" s="290" t="str">
        <f>'DOE25'!A2</f>
        <v>Rollinsford</v>
      </c>
      <c r="G2" s="291"/>
      <c r="H2" s="291"/>
      <c r="I2" s="291"/>
      <c r="J2" s="52"/>
      <c r="K2" s="52"/>
      <c r="L2" s="52"/>
      <c r="M2" s="213"/>
    </row>
    <row r="3" spans="1:26" x14ac:dyDescent="0.2">
      <c r="A3" s="214" t="s">
        <v>767</v>
      </c>
      <c r="B3" s="215" t="s">
        <v>768</v>
      </c>
      <c r="C3" s="288" t="s">
        <v>770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6"/>
      <c r="B4" s="217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09"/>
      <c r="O29" s="209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5"/>
      <c r="AB29" s="205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5"/>
      <c r="AO29" s="205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5"/>
      <c r="BB29" s="205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5"/>
      <c r="BO29" s="205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5"/>
      <c r="CB29" s="205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5"/>
      <c r="CO29" s="205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5"/>
      <c r="DB29" s="205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5"/>
      <c r="DO29" s="205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5"/>
      <c r="EB29" s="205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5"/>
      <c r="EO29" s="205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5"/>
      <c r="FB29" s="205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5"/>
      <c r="FO29" s="205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5"/>
      <c r="GB29" s="205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5"/>
      <c r="GO29" s="205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5"/>
      <c r="HB29" s="205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5"/>
      <c r="HO29" s="205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5"/>
      <c r="IB29" s="205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5"/>
      <c r="IO29" s="205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6"/>
      <c r="B30" s="217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09"/>
      <c r="O30" s="209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5"/>
      <c r="AB30" s="205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5"/>
      <c r="AO30" s="205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5"/>
      <c r="BB30" s="205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5"/>
      <c r="BO30" s="205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5"/>
      <c r="CB30" s="205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5"/>
      <c r="CO30" s="205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5"/>
      <c r="DB30" s="205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5"/>
      <c r="DO30" s="205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5"/>
      <c r="EB30" s="205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5"/>
      <c r="EO30" s="205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5"/>
      <c r="FB30" s="205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5"/>
      <c r="FO30" s="205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5"/>
      <c r="GB30" s="205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5"/>
      <c r="GO30" s="205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5"/>
      <c r="HB30" s="205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5"/>
      <c r="HO30" s="205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5"/>
      <c r="IB30" s="205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5"/>
      <c r="IO30" s="205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6"/>
      <c r="B31" s="217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09"/>
      <c r="O31" s="209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5"/>
      <c r="AB31" s="205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5"/>
      <c r="AO31" s="205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5"/>
      <c r="BB31" s="205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5"/>
      <c r="BO31" s="205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5"/>
      <c r="CB31" s="205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5"/>
      <c r="CO31" s="205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5"/>
      <c r="DB31" s="205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5"/>
      <c r="DO31" s="205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5"/>
      <c r="EB31" s="205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5"/>
      <c r="EO31" s="205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5"/>
      <c r="FB31" s="205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5"/>
      <c r="FO31" s="205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5"/>
      <c r="GB31" s="205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5"/>
      <c r="GO31" s="205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5"/>
      <c r="HB31" s="205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5"/>
      <c r="HO31" s="205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5"/>
      <c r="IB31" s="205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5"/>
      <c r="IO31" s="205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6"/>
      <c r="B32" s="217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1"/>
      <c r="O32" s="221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6"/>
      <c r="AB32" s="217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6"/>
      <c r="AO32" s="217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6"/>
      <c r="BB32" s="217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6"/>
      <c r="BO32" s="217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6"/>
      <c r="CB32" s="217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6"/>
      <c r="CO32" s="217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6"/>
      <c r="DB32" s="217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6"/>
      <c r="DO32" s="217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6"/>
      <c r="EB32" s="217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6"/>
      <c r="EO32" s="217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6"/>
      <c r="FB32" s="217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6"/>
      <c r="FO32" s="217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6"/>
      <c r="GB32" s="217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6"/>
      <c r="GO32" s="217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6"/>
      <c r="HB32" s="217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6"/>
      <c r="HO32" s="217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6"/>
      <c r="IB32" s="217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6"/>
      <c r="IO32" s="217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6"/>
      <c r="B33" s="217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09"/>
      <c r="O38" s="209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5"/>
      <c r="AB38" s="205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5"/>
      <c r="AO38" s="205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5"/>
      <c r="BB38" s="205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5"/>
      <c r="BO38" s="205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5"/>
      <c r="CB38" s="205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5"/>
      <c r="CO38" s="205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5"/>
      <c r="DB38" s="205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5"/>
      <c r="DO38" s="205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5"/>
      <c r="EB38" s="205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5"/>
      <c r="EO38" s="205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5"/>
      <c r="FB38" s="205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5"/>
      <c r="FO38" s="205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5"/>
      <c r="GB38" s="205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5"/>
      <c r="GO38" s="205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5"/>
      <c r="HB38" s="205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5"/>
      <c r="HO38" s="205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5"/>
      <c r="IB38" s="205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5"/>
      <c r="IO38" s="205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6"/>
      <c r="B39" s="217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09"/>
      <c r="O39" s="209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5"/>
      <c r="AB39" s="205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5"/>
      <c r="AO39" s="205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5"/>
      <c r="BB39" s="205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5"/>
      <c r="BO39" s="205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5"/>
      <c r="CB39" s="205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5"/>
      <c r="CO39" s="205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5"/>
      <c r="DB39" s="205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5"/>
      <c r="DO39" s="205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5"/>
      <c r="EB39" s="205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5"/>
      <c r="EO39" s="205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5"/>
      <c r="FB39" s="205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5"/>
      <c r="FO39" s="205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5"/>
      <c r="GB39" s="205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5"/>
      <c r="GO39" s="205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5"/>
      <c r="HB39" s="205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5"/>
      <c r="HO39" s="205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5"/>
      <c r="IB39" s="205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5"/>
      <c r="IO39" s="205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6"/>
      <c r="B40" s="217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09"/>
      <c r="O40" s="209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5"/>
      <c r="AB40" s="205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5"/>
      <c r="AO40" s="205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5"/>
      <c r="BB40" s="205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5"/>
      <c r="BO40" s="205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5"/>
      <c r="CB40" s="205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5"/>
      <c r="CO40" s="205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5"/>
      <c r="DB40" s="205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5"/>
      <c r="DO40" s="205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5"/>
      <c r="EB40" s="205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5"/>
      <c r="EO40" s="205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5"/>
      <c r="FB40" s="205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5"/>
      <c r="FO40" s="205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5"/>
      <c r="GB40" s="205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5"/>
      <c r="GO40" s="205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5"/>
      <c r="HB40" s="205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5"/>
      <c r="HO40" s="205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5"/>
      <c r="IB40" s="205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5"/>
      <c r="IO40" s="205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6"/>
      <c r="B41" s="217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6"/>
      <c r="B60" s="217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6"/>
      <c r="B61" s="217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6"/>
      <c r="B62" s="217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6"/>
      <c r="B63" s="217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6"/>
      <c r="B64" s="217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6"/>
      <c r="B65" s="217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6"/>
      <c r="B66" s="217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6"/>
      <c r="B67" s="217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6"/>
      <c r="B68" s="217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6"/>
      <c r="B69" s="217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8"/>
      <c r="B70" s="219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9" t="s">
        <v>847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767</v>
      </c>
      <c r="B73" s="208" t="s">
        <v>768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09"/>
      <c r="B74" s="209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09"/>
      <c r="B75" s="209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09"/>
      <c r="B76" s="209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09"/>
      <c r="B77" s="209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09"/>
      <c r="B78" s="209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09"/>
      <c r="B79" s="209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09"/>
      <c r="B80" s="209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09"/>
      <c r="B81" s="209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09"/>
      <c r="B82" s="209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09"/>
      <c r="B83" s="209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09"/>
      <c r="B84" s="209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09"/>
      <c r="B85" s="209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09"/>
      <c r="B86" s="209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09"/>
      <c r="B87" s="209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09"/>
      <c r="B88" s="209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09"/>
      <c r="B89" s="209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09"/>
      <c r="B90" s="209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2017-11-02T15:36:09Z</cp:lastPrinted>
  <dcterms:created xsi:type="dcterms:W3CDTF">1997-12-04T19:04:30Z</dcterms:created>
  <dcterms:modified xsi:type="dcterms:W3CDTF">2017-11-29T18:05:22Z</dcterms:modified>
</cp:coreProperties>
</file>