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68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I661" i="1" l="1"/>
  <c r="H664" i="1"/>
  <c r="H667" i="1" s="1"/>
  <c r="D145" i="2"/>
  <c r="L362" i="1"/>
  <c r="G635" i="1" s="1"/>
  <c r="J635" i="1" s="1"/>
  <c r="J623" i="1"/>
  <c r="H257" i="1"/>
  <c r="H271" i="1" s="1"/>
  <c r="E33" i="13"/>
  <c r="D35" i="13" s="1"/>
  <c r="F660" i="1"/>
  <c r="F664" i="1" s="1"/>
  <c r="F672" i="1" s="1"/>
  <c r="C4" i="10" s="1"/>
  <c r="L257" i="1"/>
  <c r="L271" i="1" s="1"/>
  <c r="G632" i="1" s="1"/>
  <c r="J632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F104" i="2" l="1"/>
  <c r="H672" i="1"/>
  <c r="C6" i="10" s="1"/>
  <c r="F667" i="1"/>
  <c r="H646" i="1"/>
  <c r="C28" i="10"/>
  <c r="D19" i="10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1" i="10"/>
  <c r="D11" i="10"/>
  <c r="D13" i="10"/>
  <c r="D22" i="10" l="1"/>
  <c r="D27" i="10"/>
  <c r="D18" i="10"/>
  <c r="D17" i="10"/>
  <c r="D12" i="10"/>
  <c r="D24" i="10"/>
  <c r="D10" i="10"/>
  <c r="D26" i="10"/>
  <c r="C30" i="10"/>
  <c r="D16" i="10"/>
  <c r="D23" i="10"/>
  <c r="D20" i="10"/>
  <c r="D15" i="10"/>
  <c r="D25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<sst xmlns="http://schemas.openxmlformats.org/spreadsheetml/2006/main" count="3955" uniqueCount="913">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</sst>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467</v>
      </c>
      <c r="C2" s="21">
        <v>467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142285.85</v>
      </c>
      <c r="G9" s="18">
        <v>12846.37</v>
      </c>
      <c r="H9" s="18">
        <v>-64019.68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1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857370.8</v>
      </c>
      <c r="K10" s="24" t="s">
        <v>288</v>
      </c>
      <c r="L10" s="24" t="s">
        <v>288</v>
      </c>
      <c r="M10" s="8"/>
      <c r="N10" s="271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1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18564.07</v>
      </c>
      <c r="G13" s="18">
        <v>2498.02</v>
      </c>
      <c r="H13" s="18">
        <v>74587.259999999995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1739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2108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164696.92000000001</v>
      </c>
      <c r="G19" s="41">
        <f>SUM(G9:G18)</f>
        <v>15344.390000000001</v>
      </c>
      <c r="H19" s="41">
        <f>SUM(H9:H18)</f>
        <v>10567.579999999994</v>
      </c>
      <c r="I19" s="41">
        <f>SUM(I9:I18)</f>
        <v>0</v>
      </c>
      <c r="J19" s="41">
        <f>SUM(J9:J18)</f>
        <v>857370.8</v>
      </c>
      <c r="K19" s="45" t="s">
        <v>288</v>
      </c>
      <c r="L19" s="45" t="s">
        <v>288</v>
      </c>
      <c r="M19" s="8"/>
      <c r="N19" s="271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30128.98</v>
      </c>
      <c r="G24" s="18">
        <v>14174.73</v>
      </c>
      <c r="H24" s="18">
        <v>10567.58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30128.98</v>
      </c>
      <c r="G32" s="41">
        <f>SUM(G22:G31)</f>
        <v>14174.73</v>
      </c>
      <c r="H32" s="41">
        <f>SUM(H22:H31)</f>
        <v>10567.58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1169.6600000000001</v>
      </c>
      <c r="H48" s="18"/>
      <c r="I48" s="18"/>
      <c r="J48" s="13">
        <f>SUM(I459)</f>
        <v>857370.8</v>
      </c>
      <c r="K48" s="24" t="s">
        <v>288</v>
      </c>
      <c r="L48" s="24" t="s">
        <v>288</v>
      </c>
      <c r="M48" s="8"/>
      <c r="N48" s="271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59567.33</v>
      </c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0.61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134567.94</v>
      </c>
      <c r="G51" s="41">
        <f>SUM(G35:G50)</f>
        <v>1169.6600000000001</v>
      </c>
      <c r="H51" s="41">
        <f>SUM(H35:H50)</f>
        <v>0</v>
      </c>
      <c r="I51" s="41">
        <f>SUM(I35:I50)</f>
        <v>0</v>
      </c>
      <c r="J51" s="41">
        <f>SUM(J35:J50)</f>
        <v>857370.8</v>
      </c>
      <c r="K51" s="45" t="s">
        <v>288</v>
      </c>
      <c r="L51" s="45" t="s">
        <v>288</v>
      </c>
      <c r="N51" s="269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164696.92000000001</v>
      </c>
      <c r="G52" s="41">
        <f>G51+G32</f>
        <v>15344.39</v>
      </c>
      <c r="H52" s="41">
        <f>H51+H32</f>
        <v>10567.58</v>
      </c>
      <c r="I52" s="41">
        <f>I51+I32</f>
        <v>0</v>
      </c>
      <c r="J52" s="41">
        <f>J51+J32</f>
        <v>857370.8</v>
      </c>
      <c r="K52" s="45" t="s">
        <v>288</v>
      </c>
      <c r="L52" s="45" t="s">
        <v>288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1886193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1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2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1886193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869.22</v>
      </c>
      <c r="G96" s="18"/>
      <c r="H96" s="18"/>
      <c r="I96" s="18"/>
      <c r="J96" s="18">
        <v>4385.3500000000004</v>
      </c>
      <c r="K96" s="24" t="s">
        <v>288</v>
      </c>
      <c r="L96" s="24" t="s">
        <v>288</v>
      </c>
      <c r="M96" s="8"/>
      <c r="N96" s="271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17621.75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1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6567.16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10240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1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17676.38</v>
      </c>
      <c r="G111" s="41">
        <f>SUM(G96:G110)</f>
        <v>17621.75</v>
      </c>
      <c r="H111" s="41">
        <f>SUM(H96:H110)</f>
        <v>0</v>
      </c>
      <c r="I111" s="41">
        <f>SUM(I96:I110)</f>
        <v>0</v>
      </c>
      <c r="J111" s="41">
        <f>SUM(J96:J110)</f>
        <v>4385.3500000000004</v>
      </c>
      <c r="K111" s="45" t="s">
        <v>288</v>
      </c>
      <c r="L111" s="45" t="s">
        <v>288</v>
      </c>
      <c r="N111" s="269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1903869.38</v>
      </c>
      <c r="G112" s="41">
        <f>G60+G111</f>
        <v>17621.75</v>
      </c>
      <c r="H112" s="41">
        <f>H60+H79+H94+H111</f>
        <v>0</v>
      </c>
      <c r="I112" s="41">
        <f>I60+I111</f>
        <v>0</v>
      </c>
      <c r="J112" s="41">
        <f>J60+J111</f>
        <v>4385.3500000000004</v>
      </c>
      <c r="K112" s="45" t="s">
        <v>288</v>
      </c>
      <c r="L112" s="45" t="s">
        <v>288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454168.75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224147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5096.1899999999996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683411.94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663.83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1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663.83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683411.94</v>
      </c>
      <c r="G140" s="41">
        <f>G121+SUM(G136:G137)</f>
        <v>663.83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120838.52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118231.34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55165.9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29570.05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4771.46</v>
      </c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29570.05</v>
      </c>
      <c r="G162" s="41">
        <f>SUM(G150:G161)</f>
        <v>55165.9</v>
      </c>
      <c r="H162" s="41">
        <f>SUM(H150:H161)</f>
        <v>243841.31999999998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5909.43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35479.479999999996</v>
      </c>
      <c r="G169" s="41">
        <f>G147+G162+SUM(G163:G168)</f>
        <v>55165.9</v>
      </c>
      <c r="H169" s="41">
        <f>H147+H162+SUM(H163:H168)</f>
        <v>243841.31999999998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3868.72</v>
      </c>
      <c r="H179" s="18"/>
      <c r="I179" s="18"/>
      <c r="J179" s="18">
        <v>225000</v>
      </c>
      <c r="K179" s="24" t="s">
        <v>288</v>
      </c>
      <c r="L179" s="24" t="s">
        <v>288</v>
      </c>
      <c r="M179" s="8"/>
      <c r="N179" s="271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1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1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1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3868.72</v>
      </c>
      <c r="H183" s="41">
        <f>SUM(H179:H182)</f>
        <v>0</v>
      </c>
      <c r="I183" s="41">
        <f>SUM(I179:I182)</f>
        <v>0</v>
      </c>
      <c r="J183" s="41">
        <f>SUM(J179:J182)</f>
        <v>225000</v>
      </c>
      <c r="K183" s="45" t="s">
        <v>288</v>
      </c>
      <c r="L183" s="45" t="s">
        <v>288</v>
      </c>
      <c r="M183" s="8"/>
      <c r="N183" s="271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9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3868.72</v>
      </c>
      <c r="H192" s="41">
        <f>+H183+SUM(H188:H191)</f>
        <v>0</v>
      </c>
      <c r="I192" s="41">
        <f>I177+I183+SUM(I188:I191)</f>
        <v>0</v>
      </c>
      <c r="J192" s="41">
        <f>J183</f>
        <v>225000</v>
      </c>
      <c r="K192" s="45" t="s">
        <v>288</v>
      </c>
      <c r="L192" s="45" t="s">
        <v>288</v>
      </c>
      <c r="M192" s="8"/>
      <c r="N192" s="271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2622760.7999999998</v>
      </c>
      <c r="G193" s="47">
        <f>G112+G140+G169+G192</f>
        <v>77320.200000000012</v>
      </c>
      <c r="H193" s="47">
        <f>H112+H140+H169+H192</f>
        <v>243841.31999999998</v>
      </c>
      <c r="I193" s="47">
        <f>I112+I140+I169+I192</f>
        <v>0</v>
      </c>
      <c r="J193" s="47">
        <f>J112+J140+J192</f>
        <v>229385.35</v>
      </c>
      <c r="K193" s="45" t="s">
        <v>288</v>
      </c>
      <c r="L193" s="45" t="s">
        <v>288</v>
      </c>
      <c r="M193" s="8"/>
      <c r="N193" s="271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1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633363.56000000006</v>
      </c>
      <c r="G197" s="18">
        <v>365430.52</v>
      </c>
      <c r="H197" s="18">
        <v>1529.79</v>
      </c>
      <c r="I197" s="18">
        <v>19789.75</v>
      </c>
      <c r="J197" s="18">
        <v>19926.060000000001</v>
      </c>
      <c r="K197" s="18">
        <v>15168.82</v>
      </c>
      <c r="L197" s="19">
        <f>SUM(F197:K197)</f>
        <v>1055208.5000000002</v>
      </c>
      <c r="M197" s="8"/>
      <c r="N197" s="271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176449.91</v>
      </c>
      <c r="G198" s="18">
        <v>48897.61</v>
      </c>
      <c r="H198" s="18">
        <v>118851.58</v>
      </c>
      <c r="I198" s="18">
        <v>903.34</v>
      </c>
      <c r="J198" s="18">
        <v>1266.46</v>
      </c>
      <c r="K198" s="18"/>
      <c r="L198" s="19">
        <f>SUM(F198:K198)</f>
        <v>346368.90000000008</v>
      </c>
      <c r="M198" s="8"/>
      <c r="N198" s="271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56826.44</v>
      </c>
      <c r="G200" s="18">
        <v>7566.76</v>
      </c>
      <c r="H200" s="18">
        <v>8578.74</v>
      </c>
      <c r="I200" s="18">
        <v>1786.38</v>
      </c>
      <c r="J200" s="18"/>
      <c r="K200" s="18"/>
      <c r="L200" s="19">
        <f>SUM(F200:K200)</f>
        <v>74758.320000000007</v>
      </c>
      <c r="M200" s="8"/>
      <c r="N200" s="271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39700</v>
      </c>
      <c r="G202" s="18">
        <v>32985.279999999999</v>
      </c>
      <c r="H202" s="18">
        <v>186908.21</v>
      </c>
      <c r="I202" s="18">
        <v>4651.71</v>
      </c>
      <c r="J202" s="18">
        <v>465</v>
      </c>
      <c r="K202" s="18">
        <v>138.12</v>
      </c>
      <c r="L202" s="19">
        <f t="shared" ref="L202:L208" si="0">SUM(F202:K202)</f>
        <v>264848.32</v>
      </c>
      <c r="M202" s="8"/>
      <c r="N202" s="271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280</v>
      </c>
      <c r="G203" s="18">
        <v>4952.3500000000004</v>
      </c>
      <c r="H203" s="18">
        <v>540</v>
      </c>
      <c r="I203" s="18">
        <v>2292.96</v>
      </c>
      <c r="J203" s="18">
        <v>1018.92</v>
      </c>
      <c r="K203" s="18"/>
      <c r="L203" s="19">
        <f t="shared" si="0"/>
        <v>9084.23</v>
      </c>
      <c r="M203" s="8"/>
      <c r="N203" s="271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5790</v>
      </c>
      <c r="G204" s="18">
        <v>673.86</v>
      </c>
      <c r="H204" s="18">
        <v>83468.639999999999</v>
      </c>
      <c r="I204" s="18">
        <v>115.46</v>
      </c>
      <c r="J204" s="18"/>
      <c r="K204" s="18">
        <v>3508.06</v>
      </c>
      <c r="L204" s="19">
        <f t="shared" si="0"/>
        <v>93556.02</v>
      </c>
      <c r="M204" s="8"/>
      <c r="N204" s="271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128816.55</v>
      </c>
      <c r="G205" s="18">
        <v>70672.34</v>
      </c>
      <c r="H205" s="18">
        <v>3345.81</v>
      </c>
      <c r="I205" s="18">
        <v>3409.21</v>
      </c>
      <c r="J205" s="18"/>
      <c r="K205" s="18">
        <v>1565.04</v>
      </c>
      <c r="L205" s="19">
        <f t="shared" si="0"/>
        <v>207808.95</v>
      </c>
      <c r="M205" s="8"/>
      <c r="N205" s="271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71399</v>
      </c>
      <c r="G207" s="18">
        <v>40121.379999999997</v>
      </c>
      <c r="H207" s="18">
        <v>52606.84</v>
      </c>
      <c r="I207" s="18">
        <v>54249.4</v>
      </c>
      <c r="J207" s="18">
        <v>384.31</v>
      </c>
      <c r="K207" s="18"/>
      <c r="L207" s="19">
        <f t="shared" si="0"/>
        <v>218760.93</v>
      </c>
      <c r="M207" s="8"/>
      <c r="N207" s="271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138670.6</v>
      </c>
      <c r="I208" s="18"/>
      <c r="J208" s="18"/>
      <c r="K208" s="18"/>
      <c r="L208" s="19">
        <f t="shared" si="0"/>
        <v>138670.6</v>
      </c>
      <c r="M208" s="8"/>
      <c r="N208" s="271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1112625.4600000002</v>
      </c>
      <c r="G211" s="41">
        <f t="shared" si="1"/>
        <v>571300.1</v>
      </c>
      <c r="H211" s="41">
        <f t="shared" si="1"/>
        <v>594500.21</v>
      </c>
      <c r="I211" s="41">
        <f t="shared" si="1"/>
        <v>87198.209999999992</v>
      </c>
      <c r="J211" s="41">
        <f t="shared" si="1"/>
        <v>23060.75</v>
      </c>
      <c r="K211" s="41">
        <f t="shared" si="1"/>
        <v>20380.04</v>
      </c>
      <c r="L211" s="41">
        <f t="shared" si="1"/>
        <v>2409064.7700000005</v>
      </c>
      <c r="M211" s="8"/>
      <c r="N211" s="271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1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1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1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1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1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1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1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1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>
        <v>169.75</v>
      </c>
      <c r="I253" s="18"/>
      <c r="J253" s="18"/>
      <c r="K253" s="18"/>
      <c r="L253" s="19">
        <f t="shared" si="6"/>
        <v>169.75</v>
      </c>
      <c r="M253" s="8"/>
      <c r="N253" s="271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34409.480000000003</v>
      </c>
      <c r="I255" s="18"/>
      <c r="J255" s="18"/>
      <c r="K255" s="18"/>
      <c r="L255" s="19">
        <f t="shared" si="6"/>
        <v>34409.480000000003</v>
      </c>
      <c r="M255" s="8"/>
      <c r="N255" s="271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34579.230000000003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34579.230000000003</v>
      </c>
      <c r="M256" s="8"/>
      <c r="N256" s="271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1112625.4600000002</v>
      </c>
      <c r="G257" s="41">
        <f t="shared" si="8"/>
        <v>571300.1</v>
      </c>
      <c r="H257" s="41">
        <f t="shared" si="8"/>
        <v>629079.43999999994</v>
      </c>
      <c r="I257" s="41">
        <f t="shared" si="8"/>
        <v>87198.209999999992</v>
      </c>
      <c r="J257" s="41">
        <f t="shared" si="8"/>
        <v>23060.75</v>
      </c>
      <c r="K257" s="41">
        <f t="shared" si="8"/>
        <v>20380.04</v>
      </c>
      <c r="L257" s="41">
        <f t="shared" si="8"/>
        <v>2443644.0000000005</v>
      </c>
      <c r="M257" s="8"/>
      <c r="N257" s="271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1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69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3868.72</v>
      </c>
      <c r="L263" s="19">
        <f>SUM(F263:K263)</f>
        <v>3868.72</v>
      </c>
      <c r="N263" s="269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225000</v>
      </c>
      <c r="L266" s="19">
        <f t="shared" si="9"/>
        <v>225000</v>
      </c>
      <c r="N266" s="269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228868.72</v>
      </c>
      <c r="L270" s="41">
        <f t="shared" si="9"/>
        <v>228868.72</v>
      </c>
      <c r="N270" s="269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1112625.4600000002</v>
      </c>
      <c r="G271" s="42">
        <f t="shared" si="11"/>
        <v>571300.1</v>
      </c>
      <c r="H271" s="42">
        <f t="shared" si="11"/>
        <v>629079.43999999994</v>
      </c>
      <c r="I271" s="42">
        <f t="shared" si="11"/>
        <v>87198.209999999992</v>
      </c>
      <c r="J271" s="42">
        <f t="shared" si="11"/>
        <v>23060.75</v>
      </c>
      <c r="K271" s="42">
        <f t="shared" si="11"/>
        <v>249248.76</v>
      </c>
      <c r="L271" s="42">
        <f t="shared" si="11"/>
        <v>2672512.7200000007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1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45994.22</v>
      </c>
      <c r="G276" s="18">
        <v>19254.38</v>
      </c>
      <c r="H276" s="18"/>
      <c r="I276" s="18">
        <v>17989.47</v>
      </c>
      <c r="J276" s="18">
        <v>6609.2</v>
      </c>
      <c r="K276" s="18">
        <v>775</v>
      </c>
      <c r="L276" s="19">
        <f>SUM(F276:K276)</f>
        <v>90622.27</v>
      </c>
      <c r="M276" s="8"/>
      <c r="N276" s="271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325</v>
      </c>
      <c r="J277" s="18"/>
      <c r="K277" s="18"/>
      <c r="L277" s="19">
        <f>SUM(F277:K277)</f>
        <v>325</v>
      </c>
      <c r="M277" s="8"/>
      <c r="N277" s="271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84344.04</v>
      </c>
      <c r="G279" s="18">
        <v>31638.58</v>
      </c>
      <c r="H279" s="18"/>
      <c r="I279" s="18">
        <v>7912.72</v>
      </c>
      <c r="J279" s="18"/>
      <c r="K279" s="18">
        <v>5009.95</v>
      </c>
      <c r="L279" s="19">
        <f>SUM(F279:K279)</f>
        <v>128905.29</v>
      </c>
      <c r="M279" s="8"/>
      <c r="N279" s="271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956.41</v>
      </c>
      <c r="J281" s="18"/>
      <c r="K281" s="18"/>
      <c r="L281" s="19">
        <f t="shared" ref="L281:L287" si="12">SUM(F281:K281)</f>
        <v>956.41</v>
      </c>
      <c r="M281" s="8"/>
      <c r="N281" s="271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8852.34</v>
      </c>
      <c r="I282" s="18"/>
      <c r="J282" s="18"/>
      <c r="K282" s="18">
        <v>500</v>
      </c>
      <c r="L282" s="19">
        <f t="shared" si="12"/>
        <v>9352.34</v>
      </c>
      <c r="M282" s="8"/>
      <c r="N282" s="271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5090.33</v>
      </c>
      <c r="G283" s="18"/>
      <c r="H283" s="18"/>
      <c r="I283" s="18"/>
      <c r="J283" s="18"/>
      <c r="K283" s="18">
        <v>537.36</v>
      </c>
      <c r="L283" s="19">
        <f t="shared" si="12"/>
        <v>5627.69</v>
      </c>
      <c r="M283" s="8"/>
      <c r="N283" s="271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4052.32</v>
      </c>
      <c r="L285" s="19">
        <f t="shared" si="12"/>
        <v>4052.32</v>
      </c>
      <c r="M285" s="8"/>
      <c r="N285" s="271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4000</v>
      </c>
      <c r="I287" s="18"/>
      <c r="J287" s="18"/>
      <c r="K287" s="18"/>
      <c r="L287" s="19">
        <f t="shared" si="12"/>
        <v>4000</v>
      </c>
      <c r="M287" s="8"/>
      <c r="N287" s="271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135428.59</v>
      </c>
      <c r="G290" s="42">
        <f t="shared" si="13"/>
        <v>50892.960000000006</v>
      </c>
      <c r="H290" s="42">
        <f t="shared" si="13"/>
        <v>12852.34</v>
      </c>
      <c r="I290" s="42">
        <f t="shared" si="13"/>
        <v>27183.600000000002</v>
      </c>
      <c r="J290" s="42">
        <f t="shared" si="13"/>
        <v>6609.2</v>
      </c>
      <c r="K290" s="42">
        <f t="shared" si="13"/>
        <v>10874.63</v>
      </c>
      <c r="L290" s="41">
        <f t="shared" si="13"/>
        <v>243841.32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1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1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1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135428.59</v>
      </c>
      <c r="G338" s="41">
        <f t="shared" si="20"/>
        <v>50892.960000000006</v>
      </c>
      <c r="H338" s="41">
        <f t="shared" si="20"/>
        <v>12852.34</v>
      </c>
      <c r="I338" s="41">
        <f t="shared" si="20"/>
        <v>27183.600000000002</v>
      </c>
      <c r="J338" s="41">
        <f t="shared" si="20"/>
        <v>6609.2</v>
      </c>
      <c r="K338" s="41">
        <f t="shared" si="20"/>
        <v>10874.63</v>
      </c>
      <c r="L338" s="41">
        <f t="shared" si="20"/>
        <v>243841.32</v>
      </c>
      <c r="M338" s="8"/>
      <c r="N338" s="271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135428.59</v>
      </c>
      <c r="G352" s="41">
        <f>G338</f>
        <v>50892.960000000006</v>
      </c>
      <c r="H352" s="41">
        <f>H338</f>
        <v>12852.34</v>
      </c>
      <c r="I352" s="41">
        <f>I338</f>
        <v>27183.600000000002</v>
      </c>
      <c r="J352" s="41">
        <f>J338</f>
        <v>6609.2</v>
      </c>
      <c r="K352" s="47">
        <f>K338+K351</f>
        <v>10874.63</v>
      </c>
      <c r="L352" s="41">
        <f>L338+L351</f>
        <v>243841.32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1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77320.2</v>
      </c>
      <c r="I358" s="18"/>
      <c r="J358" s="18"/>
      <c r="K358" s="18"/>
      <c r="L358" s="13">
        <f>SUM(F358:K358)</f>
        <v>77320.2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77320.2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77320.2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1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>
        <v>21.78</v>
      </c>
      <c r="I387" s="18"/>
      <c r="J387" s="24" t="s">
        <v>288</v>
      </c>
      <c r="K387" s="24" t="s">
        <v>288</v>
      </c>
      <c r="L387" s="56">
        <f t="shared" ref="L387:L392" si="25">SUM(F387:K387)</f>
        <v>21.78</v>
      </c>
      <c r="M387" s="8"/>
      <c r="N387" s="271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21.78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21.78</v>
      </c>
      <c r="M393" s="8"/>
      <c r="N393" s="271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225000</v>
      </c>
      <c r="H396" s="18">
        <v>4040.6</v>
      </c>
      <c r="I396" s="18"/>
      <c r="J396" s="24" t="s">
        <v>288</v>
      </c>
      <c r="K396" s="24" t="s">
        <v>288</v>
      </c>
      <c r="L396" s="56">
        <f t="shared" si="26"/>
        <v>229040.6</v>
      </c>
      <c r="M396" s="8"/>
      <c r="N396" s="271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322.97000000000003</v>
      </c>
      <c r="I397" s="18"/>
      <c r="J397" s="24" t="s">
        <v>288</v>
      </c>
      <c r="K397" s="24" t="s">
        <v>288</v>
      </c>
      <c r="L397" s="56">
        <f t="shared" si="26"/>
        <v>322.97000000000003</v>
      </c>
      <c r="M397" s="8"/>
      <c r="N397" s="271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1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225000</v>
      </c>
      <c r="H401" s="47">
        <f>SUM(H395:H400)</f>
        <v>4363.57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229363.57</v>
      </c>
      <c r="M401" s="8"/>
      <c r="N401" s="271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225000</v>
      </c>
      <c r="H408" s="47">
        <f>H393+H401+H407</f>
        <v>4385.3499999999995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229385.35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1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857370.8</v>
      </c>
      <c r="G440" s="18"/>
      <c r="H440" s="18"/>
      <c r="I440" s="56">
        <f t="shared" si="33"/>
        <v>857370.8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857370.8</v>
      </c>
      <c r="G446" s="13">
        <f>SUM(G439:G445)</f>
        <v>0</v>
      </c>
      <c r="H446" s="13">
        <f>SUM(H439:H445)</f>
        <v>0</v>
      </c>
      <c r="I446" s="13">
        <f>SUM(I439:I445)</f>
        <v>857370.8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857370.8</v>
      </c>
      <c r="G459" s="18"/>
      <c r="H459" s="18"/>
      <c r="I459" s="56">
        <f t="shared" si="34"/>
        <v>857370.8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857370.8</v>
      </c>
      <c r="G460" s="83">
        <f>SUM(G454:G459)</f>
        <v>0</v>
      </c>
      <c r="H460" s="83">
        <f>SUM(H454:H459)</f>
        <v>0</v>
      </c>
      <c r="I460" s="83">
        <f>SUM(I454:I459)</f>
        <v>857370.8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857370.8</v>
      </c>
      <c r="G461" s="42">
        <f>G452+G460</f>
        <v>0</v>
      </c>
      <c r="H461" s="42">
        <f>H452+H460</f>
        <v>0</v>
      </c>
      <c r="I461" s="42">
        <f>I452+I460</f>
        <v>857370.8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184319.86</v>
      </c>
      <c r="G465" s="18">
        <v>1169.6600000000001</v>
      </c>
      <c r="H465" s="18"/>
      <c r="I465" s="18"/>
      <c r="J465" s="18">
        <v>627985.44999999995</v>
      </c>
      <c r="K465" s="24" t="s">
        <v>288</v>
      </c>
      <c r="L465" s="24" t="s">
        <v>288</v>
      </c>
      <c r="N465" s="270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2622760.7999999998</v>
      </c>
      <c r="G468" s="18">
        <f>73451.48+3868.72</f>
        <v>77320.2</v>
      </c>
      <c r="H468" s="18">
        <v>243841.32</v>
      </c>
      <c r="I468" s="18"/>
      <c r="J468" s="18">
        <v>229385.35</v>
      </c>
      <c r="K468" s="24" t="s">
        <v>288</v>
      </c>
      <c r="L468" s="24" t="s">
        <v>288</v>
      </c>
      <c r="N468" s="270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0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2622760.7999999998</v>
      </c>
      <c r="G470" s="53">
        <f>SUM(G468:G469)</f>
        <v>77320.2</v>
      </c>
      <c r="H470" s="53">
        <f>SUM(H468:H469)</f>
        <v>243841.32</v>
      </c>
      <c r="I470" s="53">
        <f>SUM(I468:I469)</f>
        <v>0</v>
      </c>
      <c r="J470" s="53">
        <f>SUM(J468:J469)</f>
        <v>229385.35</v>
      </c>
      <c r="K470" s="24" t="s">
        <v>288</v>
      </c>
      <c r="L470" s="24" t="s">
        <v>288</v>
      </c>
      <c r="N470" s="270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2672512.7200000002</v>
      </c>
      <c r="G472" s="18">
        <v>77320.2</v>
      </c>
      <c r="H472" s="18">
        <v>243841.32</v>
      </c>
      <c r="I472" s="18"/>
      <c r="J472" s="18"/>
      <c r="K472" s="24" t="s">
        <v>288</v>
      </c>
      <c r="L472" s="24" t="s">
        <v>288</v>
      </c>
      <c r="N472" s="270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0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2672512.7200000002</v>
      </c>
      <c r="G474" s="53">
        <f>SUM(G472:G473)</f>
        <v>77320.2</v>
      </c>
      <c r="H474" s="53">
        <f>SUM(H472:H473)</f>
        <v>243841.32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0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134567.93999999948</v>
      </c>
      <c r="G476" s="53">
        <f>(G465+G470)- G474</f>
        <v>1169.6600000000035</v>
      </c>
      <c r="H476" s="53">
        <f>(H465+H470)- H474</f>
        <v>0</v>
      </c>
      <c r="I476" s="53">
        <f>(I465+I470)- I474</f>
        <v>0</v>
      </c>
      <c r="J476" s="53">
        <f>(J465+J470)- J474</f>
        <v>857370.79999999993</v>
      </c>
      <c r="K476" s="24" t="s">
        <v>288</v>
      </c>
      <c r="L476" s="24" t="s">
        <v>288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0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0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0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0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0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0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0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0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0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0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0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0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0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176449.91</v>
      </c>
      <c r="G521" s="18">
        <v>48897.61</v>
      </c>
      <c r="H521" s="18">
        <v>118851.58</v>
      </c>
      <c r="I521" s="18">
        <v>903.34</v>
      </c>
      <c r="J521" s="18">
        <v>1266.46</v>
      </c>
      <c r="K521" s="18"/>
      <c r="L521" s="88">
        <f>SUM(F521:K521)</f>
        <v>346368.90000000008</v>
      </c>
      <c r="N521" s="270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176449.91</v>
      </c>
      <c r="G524" s="108">
        <f t="shared" ref="G524:L524" si="36">SUM(G521:G523)</f>
        <v>48897.61</v>
      </c>
      <c r="H524" s="108">
        <f t="shared" si="36"/>
        <v>118851.58</v>
      </c>
      <c r="I524" s="108">
        <f t="shared" si="36"/>
        <v>903.34</v>
      </c>
      <c r="J524" s="108">
        <f t="shared" si="36"/>
        <v>1266.46</v>
      </c>
      <c r="K524" s="108">
        <f t="shared" si="36"/>
        <v>0</v>
      </c>
      <c r="L524" s="89">
        <f t="shared" si="36"/>
        <v>346368.90000000008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7940</v>
      </c>
      <c r="G526" s="18">
        <v>6597.06</v>
      </c>
      <c r="H526" s="18">
        <v>129396.69</v>
      </c>
      <c r="I526" s="18">
        <v>2429.7800000000002</v>
      </c>
      <c r="J526" s="18">
        <v>465</v>
      </c>
      <c r="K526" s="18">
        <v>27.62</v>
      </c>
      <c r="L526" s="88">
        <f>SUM(F526:K526)</f>
        <v>146856.15</v>
      </c>
      <c r="M526" s="8"/>
      <c r="N526" s="271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7940</v>
      </c>
      <c r="G529" s="89">
        <f t="shared" ref="G529:L529" si="37">SUM(G526:G528)</f>
        <v>6597.06</v>
      </c>
      <c r="H529" s="89">
        <f t="shared" si="37"/>
        <v>129396.69</v>
      </c>
      <c r="I529" s="89">
        <f t="shared" si="37"/>
        <v>2429.7800000000002</v>
      </c>
      <c r="J529" s="89">
        <f t="shared" si="37"/>
        <v>465</v>
      </c>
      <c r="K529" s="89">
        <f t="shared" si="37"/>
        <v>27.62</v>
      </c>
      <c r="L529" s="89">
        <f t="shared" si="37"/>
        <v>146856.15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6812.61</v>
      </c>
      <c r="G531" s="18">
        <v>3271.85</v>
      </c>
      <c r="H531" s="18">
        <v>90.93</v>
      </c>
      <c r="I531" s="18"/>
      <c r="J531" s="18"/>
      <c r="K531" s="18"/>
      <c r="L531" s="88">
        <f>SUM(F531:K531)</f>
        <v>10175.39</v>
      </c>
      <c r="M531" s="8"/>
      <c r="N531" s="271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6812.61</v>
      </c>
      <c r="G534" s="89">
        <f t="shared" ref="G534:L534" si="38">SUM(G531:G533)</f>
        <v>3271.85</v>
      </c>
      <c r="H534" s="89">
        <f t="shared" si="38"/>
        <v>90.93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10175.39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1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1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18350</v>
      </c>
      <c r="I541" s="18"/>
      <c r="J541" s="18"/>
      <c r="K541" s="18"/>
      <c r="L541" s="88">
        <f>SUM(F541:K541)</f>
        <v>18350</v>
      </c>
      <c r="M541" s="8"/>
      <c r="N541" s="271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18350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18350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191202.52</v>
      </c>
      <c r="G545" s="89">
        <f t="shared" ref="G545:L545" si="41">G524+G529+G534+G539+G544</f>
        <v>58766.52</v>
      </c>
      <c r="H545" s="89">
        <f t="shared" si="41"/>
        <v>266689.2</v>
      </c>
      <c r="I545" s="89">
        <f t="shared" si="41"/>
        <v>3333.1200000000003</v>
      </c>
      <c r="J545" s="89">
        <f t="shared" si="41"/>
        <v>1731.46</v>
      </c>
      <c r="K545" s="89">
        <f t="shared" si="41"/>
        <v>27.62</v>
      </c>
      <c r="L545" s="89">
        <f t="shared" si="41"/>
        <v>521750.44000000006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346368.90000000008</v>
      </c>
      <c r="G549" s="87">
        <f>L526</f>
        <v>146856.15</v>
      </c>
      <c r="H549" s="87">
        <f>L531</f>
        <v>10175.39</v>
      </c>
      <c r="I549" s="87">
        <f>L536</f>
        <v>0</v>
      </c>
      <c r="J549" s="87">
        <f>L541</f>
        <v>18350</v>
      </c>
      <c r="K549" s="87">
        <f>SUM(F549:J549)</f>
        <v>521750.44000000006</v>
      </c>
      <c r="L549" s="24" t="s">
        <v>288</v>
      </c>
      <c r="M549" s="8"/>
      <c r="N549" s="271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1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1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346368.90000000008</v>
      </c>
      <c r="G552" s="89">
        <f t="shared" si="42"/>
        <v>146856.15</v>
      </c>
      <c r="H552" s="89">
        <f t="shared" si="42"/>
        <v>10175.39</v>
      </c>
      <c r="I552" s="89">
        <f t="shared" si="42"/>
        <v>0</v>
      </c>
      <c r="J552" s="89">
        <f t="shared" si="42"/>
        <v>18350</v>
      </c>
      <c r="K552" s="89">
        <f t="shared" si="42"/>
        <v>521750.44000000006</v>
      </c>
      <c r="L552" s="24"/>
      <c r="M552" s="8"/>
      <c r="N552" s="271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7802.86</v>
      </c>
      <c r="G579" s="18"/>
      <c r="H579" s="18"/>
      <c r="I579" s="87">
        <f t="shared" si="47"/>
        <v>7802.86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37968.6</v>
      </c>
      <c r="G582" s="18"/>
      <c r="H582" s="18"/>
      <c r="I582" s="87">
        <f t="shared" si="47"/>
        <v>37968.6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111150.6</v>
      </c>
      <c r="I591" s="18"/>
      <c r="J591" s="18"/>
      <c r="K591" s="104">
        <f t="shared" ref="K591:K597" si="48">SUM(H591:J591)</f>
        <v>111150.6</v>
      </c>
      <c r="L591" s="24" t="s">
        <v>288</v>
      </c>
      <c r="M591" s="8"/>
      <c r="N591" s="271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18350</v>
      </c>
      <c r="I592" s="18"/>
      <c r="J592" s="18"/>
      <c r="K592" s="104">
        <f t="shared" si="48"/>
        <v>18350</v>
      </c>
      <c r="L592" s="24" t="s">
        <v>288</v>
      </c>
      <c r="M592" s="8"/>
      <c r="N592" s="271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1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2490</v>
      </c>
      <c r="I594" s="18"/>
      <c r="J594" s="18"/>
      <c r="K594" s="104">
        <f t="shared" si="48"/>
        <v>2490</v>
      </c>
      <c r="L594" s="24" t="s">
        <v>288</v>
      </c>
      <c r="M594" s="8"/>
      <c r="N594" s="271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6680</v>
      </c>
      <c r="I595" s="18"/>
      <c r="J595" s="18"/>
      <c r="K595" s="104">
        <f t="shared" si="48"/>
        <v>6680</v>
      </c>
      <c r="L595" s="24" t="s">
        <v>288</v>
      </c>
      <c r="M595" s="8"/>
      <c r="N595" s="271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1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1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138670.6</v>
      </c>
      <c r="I598" s="108">
        <f>SUM(I591:I597)</f>
        <v>0</v>
      </c>
      <c r="J598" s="108">
        <f>SUM(J591:J597)</f>
        <v>0</v>
      </c>
      <c r="K598" s="108">
        <f>SUM(K591:K597)</f>
        <v>138670.6</v>
      </c>
      <c r="L598" s="24" t="s">
        <v>288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1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1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29669.95</v>
      </c>
      <c r="I604" s="18"/>
      <c r="J604" s="18"/>
      <c r="K604" s="104">
        <f>SUM(H604:J604)</f>
        <v>29669.95</v>
      </c>
      <c r="L604" s="24" t="s">
        <v>288</v>
      </c>
      <c r="M604" s="8"/>
      <c r="N604" s="271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29669.95</v>
      </c>
      <c r="I605" s="108">
        <f>SUM(I602:I604)</f>
        <v>0</v>
      </c>
      <c r="J605" s="108">
        <f>SUM(J602:J604)</f>
        <v>0</v>
      </c>
      <c r="K605" s="108">
        <f>SUM(K602:K604)</f>
        <v>29669.95</v>
      </c>
      <c r="L605" s="24" t="s">
        <v>288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2219.38</v>
      </c>
      <c r="G611" s="18">
        <v>0.05</v>
      </c>
      <c r="H611" s="18"/>
      <c r="I611" s="18"/>
      <c r="J611" s="18"/>
      <c r="K611" s="18"/>
      <c r="L611" s="88">
        <f>SUM(F611:K611)</f>
        <v>2219.4300000000003</v>
      </c>
      <c r="M611" s="8"/>
      <c r="N611" s="271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2219.38</v>
      </c>
      <c r="G614" s="108">
        <f t="shared" si="49"/>
        <v>0.05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2219.4300000000003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164696.92000000001</v>
      </c>
      <c r="H617" s="109">
        <f>SUM(F52)</f>
        <v>164696.92000000001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15344.390000000001</v>
      </c>
      <c r="H618" s="109">
        <f>SUM(G52)</f>
        <v>15344.39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10567.579999999994</v>
      </c>
      <c r="H619" s="109">
        <f>SUM(H52)</f>
        <v>10567.58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857370.8</v>
      </c>
      <c r="H621" s="109">
        <f>SUM(J52)</f>
        <v>857370.8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134567.94</v>
      </c>
      <c r="H622" s="109">
        <f>F476</f>
        <v>134567.93999999948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1169.6600000000001</v>
      </c>
      <c r="H623" s="109">
        <f>G476</f>
        <v>1169.6600000000035</v>
      </c>
      <c r="I623" s="121" t="s">
        <v>102</v>
      </c>
      <c r="J623" s="109">
        <f t="shared" si="50"/>
        <v>-3.4106051316484809E-12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857370.8</v>
      </c>
      <c r="H626" s="109">
        <f>J476</f>
        <v>857370.79999999993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2622760.7999999998</v>
      </c>
      <c r="H627" s="104">
        <f>SUM(F468)</f>
        <v>2622760.7999999998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77320.200000000012</v>
      </c>
      <c r="H628" s="104">
        <f>SUM(G468)</f>
        <v>77320.2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243841.31999999998</v>
      </c>
      <c r="H629" s="104">
        <f>SUM(H468)</f>
        <v>243841.32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229385.35</v>
      </c>
      <c r="H631" s="104">
        <f>SUM(J468)</f>
        <v>229385.35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2672512.7200000007</v>
      </c>
      <c r="H632" s="104">
        <f>SUM(F472)</f>
        <v>2672512.7200000002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243841.32</v>
      </c>
      <c r="H633" s="104">
        <f>SUM(H472)</f>
        <v>243841.32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77320.2</v>
      </c>
      <c r="H635" s="104">
        <f>SUM(G472)</f>
        <v>77320.2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229385.35</v>
      </c>
      <c r="H637" s="164">
        <f>SUM(J468)</f>
        <v>229385.35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857370.8</v>
      </c>
      <c r="H639" s="104">
        <f>SUM(F461)</f>
        <v>857370.8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857370.8</v>
      </c>
      <c r="H642" s="104">
        <f>SUM(I461)</f>
        <v>857370.8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4385.3500000000004</v>
      </c>
      <c r="H644" s="104">
        <f>H408</f>
        <v>4385.3499999999995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225000</v>
      </c>
      <c r="H645" s="104">
        <f>G408</f>
        <v>225000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229385.35</v>
      </c>
      <c r="H646" s="104">
        <f>L408</f>
        <v>229385.35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138670.6</v>
      </c>
      <c r="H647" s="104">
        <f>L208+L226+L244</f>
        <v>138670.6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29669.95</v>
      </c>
      <c r="H648" s="104">
        <f>(J257+J338)-(J255+J336)</f>
        <v>29669.95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138670.6</v>
      </c>
      <c r="H649" s="104">
        <f>H598</f>
        <v>138670.6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3868.72</v>
      </c>
      <c r="H652" s="104">
        <f>K263+K345</f>
        <v>3868.72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225000</v>
      </c>
      <c r="H655" s="104">
        <f>K266+K347</f>
        <v>225000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2730226.2900000005</v>
      </c>
      <c r="G660" s="19">
        <f>(L229+L309+L359)</f>
        <v>0</v>
      </c>
      <c r="H660" s="19">
        <f>(L247+L328+L360)</f>
        <v>0</v>
      </c>
      <c r="I660" s="19">
        <f>SUM(F660:H660)</f>
        <v>2730226.2900000005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17621.75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17621.75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142670.6</v>
      </c>
      <c r="G662" s="19">
        <f>(L226+L306)-(J226+J306)</f>
        <v>0</v>
      </c>
      <c r="H662" s="19">
        <f>(L244+L325)-(J244+J325)</f>
        <v>0</v>
      </c>
      <c r="I662" s="19">
        <f>SUM(F662:H662)</f>
        <v>142670.6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77660.84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77660.84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2492273.1000000006</v>
      </c>
      <c r="G664" s="19">
        <f>G660-SUM(G661:G663)</f>
        <v>0</v>
      </c>
      <c r="H664" s="19">
        <f>H660-SUM(H661:H663)</f>
        <v>0</v>
      </c>
      <c r="I664" s="19">
        <f>I660-SUM(I661:I663)</f>
        <v>2492273.1000000006</v>
      </c>
      <c r="J664" s="13"/>
      <c r="K664" s="13"/>
      <c r="L664" s="13"/>
      <c r="M664" s="9"/>
    </row>
    <row r="665" spans="1:13" s="3" customFormat="1" ht="12" customHeight="1" x14ac:dyDescent="0.15">
      <c r="A665" s="1" t="s">
        <v>131</v>
      </c>
      <c r="F665" s="18">
        <v>98.8</v>
      </c>
      <c r="G665" s="247"/>
      <c r="H665" s="247"/>
      <c r="I665" s="19">
        <f>SUM(F665:H665)</f>
        <v>98.8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25225.439999999999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25225.439999999999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25225.439999999999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25225.439999999999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Rumney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7" t="s">
        <v>783</v>
      </c>
      <c r="B3" s="277"/>
      <c r="C3" s="277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782</v>
      </c>
      <c r="C6" s="276"/>
    </row>
    <row r="7" spans="1:3" x14ac:dyDescent="0.2">
      <c r="A7" s="239" t="s">
        <v>785</v>
      </c>
      <c r="B7" s="274" t="s">
        <v>781</v>
      </c>
      <c r="C7" s="275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679357.78</v>
      </c>
      <c r="C9" s="229">
        <f>'DOE25'!G197+'DOE25'!G215+'DOE25'!G233+'DOE25'!G276+'DOE25'!G295+'DOE25'!G314</f>
        <v>384684.9</v>
      </c>
    </row>
    <row r="10" spans="1:3" x14ac:dyDescent="0.2">
      <c r="A10" t="s">
        <v>778</v>
      </c>
      <c r="B10" s="240">
        <v>658096.62</v>
      </c>
      <c r="C10" s="240">
        <v>363430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21261.16</v>
      </c>
      <c r="C12" s="240">
        <v>21254.9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679357.78</v>
      </c>
      <c r="C13" s="231">
        <f>SUM(C10:C12)</f>
        <v>384684.9</v>
      </c>
    </row>
    <row r="14" spans="1:3" x14ac:dyDescent="0.2">
      <c r="B14" s="230"/>
      <c r="C14" s="230"/>
    </row>
    <row r="15" spans="1:3" x14ac:dyDescent="0.2">
      <c r="B15" s="276" t="s">
        <v>782</v>
      </c>
      <c r="C15" s="276"/>
    </row>
    <row r="16" spans="1:3" x14ac:dyDescent="0.2">
      <c r="A16" s="239" t="s">
        <v>786</v>
      </c>
      <c r="B16" s="274" t="s">
        <v>706</v>
      </c>
      <c r="C16" s="275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176449.91</v>
      </c>
      <c r="C18" s="229">
        <f>'DOE25'!G198+'DOE25'!G216+'DOE25'!G234+'DOE25'!G277+'DOE25'!G296+'DOE25'!G315</f>
        <v>48897.61</v>
      </c>
    </row>
    <row r="19" spans="1:3" x14ac:dyDescent="0.2">
      <c r="A19" t="s">
        <v>778</v>
      </c>
      <c r="B19" s="240">
        <v>41400</v>
      </c>
      <c r="C19" s="240">
        <v>18472.580000000002</v>
      </c>
    </row>
    <row r="20" spans="1:3" x14ac:dyDescent="0.2">
      <c r="A20" t="s">
        <v>779</v>
      </c>
      <c r="B20" s="240">
        <v>128489.91</v>
      </c>
      <c r="C20" s="240">
        <v>29593.21</v>
      </c>
    </row>
    <row r="21" spans="1:3" x14ac:dyDescent="0.2">
      <c r="A21" t="s">
        <v>780</v>
      </c>
      <c r="B21" s="240">
        <v>6560</v>
      </c>
      <c r="C21" s="240">
        <v>831.82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176449.91</v>
      </c>
      <c r="C22" s="231">
        <f>SUM(C19:C21)</f>
        <v>48897.61</v>
      </c>
    </row>
    <row r="23" spans="1:3" x14ac:dyDescent="0.2">
      <c r="B23" s="230"/>
      <c r="C23" s="230"/>
    </row>
    <row r="24" spans="1:3" x14ac:dyDescent="0.2">
      <c r="B24" s="276" t="s">
        <v>782</v>
      </c>
      <c r="C24" s="276"/>
    </row>
    <row r="25" spans="1:3" x14ac:dyDescent="0.2">
      <c r="A25" s="239" t="s">
        <v>787</v>
      </c>
      <c r="B25" s="274" t="s">
        <v>707</v>
      </c>
      <c r="C25" s="275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782</v>
      </c>
      <c r="C33" s="276"/>
    </row>
    <row r="34" spans="1:3" x14ac:dyDescent="0.2">
      <c r="A34" s="239" t="s">
        <v>788</v>
      </c>
      <c r="B34" s="274" t="s">
        <v>708</v>
      </c>
      <c r="C34" s="275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141170.47999999998</v>
      </c>
      <c r="C36" s="235">
        <f>'DOE25'!G200+'DOE25'!G218+'DOE25'!G236+'DOE25'!G279+'DOE25'!G298+'DOE25'!G317</f>
        <v>39205.340000000004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141170.48000000001</v>
      </c>
      <c r="C39" s="240">
        <v>39205.339999999997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141170.48000000001</v>
      </c>
      <c r="C40" s="231">
        <f>SUM(C37:C39)</f>
        <v>39205.339999999997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789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716</v>
      </c>
      <c r="B2" s="264" t="str">
        <f>'DOE25'!A2</f>
        <v>Rumney School District</v>
      </c>
      <c r="C2" s="181"/>
      <c r="D2" s="181" t="s">
        <v>791</v>
      </c>
      <c r="E2" s="181" t="s">
        <v>793</v>
      </c>
      <c r="F2" s="278" t="s">
        <v>820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1476335.7200000004</v>
      </c>
      <c r="D5" s="20">
        <f>SUM('DOE25'!L197:L200)+SUM('DOE25'!L215:L218)+SUM('DOE25'!L233:L236)-F5-G5</f>
        <v>1439974.3800000004</v>
      </c>
      <c r="E5" s="243"/>
      <c r="F5" s="254">
        <f>SUM('DOE25'!J197:J200)+SUM('DOE25'!J215:J218)+SUM('DOE25'!J233:J236)</f>
        <v>21192.52</v>
      </c>
      <c r="G5" s="53">
        <f>SUM('DOE25'!K197:K200)+SUM('DOE25'!K215:K218)+SUM('DOE25'!K233:K236)</f>
        <v>15168.82</v>
      </c>
      <c r="H5" s="258"/>
    </row>
    <row r="6" spans="1:9" x14ac:dyDescent="0.2">
      <c r="A6" s="32">
        <v>2100</v>
      </c>
      <c r="B6" t="s">
        <v>800</v>
      </c>
      <c r="C6" s="245">
        <f t="shared" si="0"/>
        <v>264848.32</v>
      </c>
      <c r="D6" s="20">
        <f>'DOE25'!L202+'DOE25'!L220+'DOE25'!L238-F6-G6</f>
        <v>264245.2</v>
      </c>
      <c r="E6" s="243"/>
      <c r="F6" s="254">
        <f>'DOE25'!J202+'DOE25'!J220+'DOE25'!J238</f>
        <v>465</v>
      </c>
      <c r="G6" s="53">
        <f>'DOE25'!K202+'DOE25'!K220+'DOE25'!K238</f>
        <v>138.12</v>
      </c>
      <c r="H6" s="258"/>
    </row>
    <row r="7" spans="1:9" x14ac:dyDescent="0.2">
      <c r="A7" s="32">
        <v>2200</v>
      </c>
      <c r="B7" t="s">
        <v>833</v>
      </c>
      <c r="C7" s="245">
        <f t="shared" si="0"/>
        <v>9084.23</v>
      </c>
      <c r="D7" s="20">
        <f>'DOE25'!L203+'DOE25'!L221+'DOE25'!L239-F7-G7</f>
        <v>8065.3099999999995</v>
      </c>
      <c r="E7" s="243"/>
      <c r="F7" s="254">
        <f>'DOE25'!J203+'DOE25'!J221+'DOE25'!J239</f>
        <v>1018.92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801</v>
      </c>
      <c r="C8" s="245">
        <f t="shared" si="0"/>
        <v>49894.630000000005</v>
      </c>
      <c r="D8" s="243"/>
      <c r="E8" s="20">
        <f>'DOE25'!L204+'DOE25'!L222+'DOE25'!L240-F8-G8-D9-D11</f>
        <v>46386.570000000007</v>
      </c>
      <c r="F8" s="254">
        <f>'DOE25'!J204+'DOE25'!J222+'DOE25'!J240</f>
        <v>0</v>
      </c>
      <c r="G8" s="53">
        <f>'DOE25'!K204+'DOE25'!K222+'DOE25'!K240</f>
        <v>3508.06</v>
      </c>
      <c r="H8" s="258"/>
    </row>
    <row r="9" spans="1:9" x14ac:dyDescent="0.2">
      <c r="A9" s="32">
        <v>2310</v>
      </c>
      <c r="B9" t="s">
        <v>817</v>
      </c>
      <c r="C9" s="245">
        <f t="shared" si="0"/>
        <v>13851.06</v>
      </c>
      <c r="D9" s="244">
        <v>13851.06</v>
      </c>
      <c r="E9" s="243"/>
      <c r="F9" s="257"/>
      <c r="G9" s="255"/>
      <c r="H9" s="258"/>
    </row>
    <row r="10" spans="1:9" x14ac:dyDescent="0.2">
      <c r="A10" s="32">
        <v>2317</v>
      </c>
      <c r="B10" t="s">
        <v>818</v>
      </c>
      <c r="C10" s="245">
        <f t="shared" si="0"/>
        <v>4000</v>
      </c>
      <c r="D10" s="243"/>
      <c r="E10" s="244">
        <v>4000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5">
        <f t="shared" si="0"/>
        <v>29810.33</v>
      </c>
      <c r="D11" s="244">
        <v>29810.33</v>
      </c>
      <c r="E11" s="243"/>
      <c r="F11" s="257"/>
      <c r="G11" s="255"/>
      <c r="H11" s="258"/>
    </row>
    <row r="12" spans="1:9" x14ac:dyDescent="0.2">
      <c r="A12" s="32">
        <v>2400</v>
      </c>
      <c r="B12" t="s">
        <v>714</v>
      </c>
      <c r="C12" s="245">
        <f t="shared" si="0"/>
        <v>207808.95</v>
      </c>
      <c r="D12" s="20">
        <f>'DOE25'!L205+'DOE25'!L223+'DOE25'!L241-F12-G12</f>
        <v>206243.91</v>
      </c>
      <c r="E12" s="243"/>
      <c r="F12" s="254">
        <f>'DOE25'!J205+'DOE25'!J223+'DOE25'!J241</f>
        <v>0</v>
      </c>
      <c r="G12" s="53">
        <f>'DOE25'!K205+'DOE25'!K223+'DOE25'!K241</f>
        <v>1565.04</v>
      </c>
      <c r="H12" s="258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5">
        <f t="shared" si="0"/>
        <v>218760.93</v>
      </c>
      <c r="D14" s="20">
        <f>'DOE25'!L207+'DOE25'!L225+'DOE25'!L243-F14-G14</f>
        <v>218376.62</v>
      </c>
      <c r="E14" s="243"/>
      <c r="F14" s="254">
        <f>'DOE25'!J207+'DOE25'!J225+'DOE25'!J243</f>
        <v>384.31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5">
        <f t="shared" si="0"/>
        <v>138670.6</v>
      </c>
      <c r="D15" s="20">
        <f>'DOE25'!L208+'DOE25'!L226+'DOE25'!L244-F15-G15</f>
        <v>138670.6</v>
      </c>
      <c r="E15" s="243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5">
        <f t="shared" si="0"/>
        <v>169.75</v>
      </c>
      <c r="D19" s="20">
        <f>'DOE25'!L253-F19-G19</f>
        <v>169.75</v>
      </c>
      <c r="E19" s="243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5">
        <f>SUM(D22:H22)</f>
        <v>34409.480000000003</v>
      </c>
      <c r="D22" s="243"/>
      <c r="E22" s="243"/>
      <c r="F22" s="254">
        <f>'DOE25'!L255+'DOE25'!L336</f>
        <v>34409.480000000003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7"/>
      <c r="G25" s="255"/>
      <c r="H25" s="256">
        <f>'DOE25'!L260+'DOE25'!L261+'DOE25'!L341+'DOE25'!L342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5">
        <f>SUM(D29:H29)</f>
        <v>77320.2</v>
      </c>
      <c r="D29" s="20">
        <f>'DOE25'!L358+'DOE25'!L359+'DOE25'!L360-'DOE25'!I367-F29-G29</f>
        <v>77320.2</v>
      </c>
      <c r="E29" s="243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5">
        <f>SUM(D31:H31)</f>
        <v>243841.32</v>
      </c>
      <c r="D31" s="20">
        <f>'DOE25'!L290+'DOE25'!L309+'DOE25'!L328+'DOE25'!L333+'DOE25'!L334+'DOE25'!L335-F31-G31</f>
        <v>226357.49</v>
      </c>
      <c r="E31" s="243"/>
      <c r="F31" s="254">
        <f>'DOE25'!J290+'DOE25'!J309+'DOE25'!J328+'DOE25'!J333+'DOE25'!J334+'DOE25'!J335</f>
        <v>6609.2</v>
      </c>
      <c r="G31" s="53">
        <f>'DOE25'!K290+'DOE25'!K309+'DOE25'!K328+'DOE25'!K333+'DOE25'!K334+'DOE25'!K335</f>
        <v>10874.63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6">
        <f>SUM(D5:D31)</f>
        <v>2623084.8500000006</v>
      </c>
      <c r="E33" s="246">
        <f>SUM(E5:E31)</f>
        <v>50386.570000000007</v>
      </c>
      <c r="F33" s="246">
        <f>SUM(F5:F31)</f>
        <v>64079.43</v>
      </c>
      <c r="G33" s="246">
        <f>SUM(G5:G31)</f>
        <v>31254.67</v>
      </c>
      <c r="H33" s="246">
        <f>SUM(H5:H31)</f>
        <v>0</v>
      </c>
    </row>
    <row r="35" spans="2:8" ht="12" thickBot="1" x14ac:dyDescent="0.25">
      <c r="B35" s="252" t="s">
        <v>846</v>
      </c>
      <c r="D35" s="253">
        <f>E33</f>
        <v>50386.570000000007</v>
      </c>
      <c r="E35" s="248"/>
    </row>
    <row r="36" spans="2:8" ht="12" thickTop="1" x14ac:dyDescent="0.2">
      <c r="B36" t="s">
        <v>814</v>
      </c>
      <c r="D36" s="20">
        <f>D33</f>
        <v>2623084.8500000006</v>
      </c>
    </row>
    <row r="38" spans="2:8" x14ac:dyDescent="0.2">
      <c r="B38" s="187" t="s">
        <v>907</v>
      </c>
      <c r="C38" s="265"/>
      <c r="D38" s="266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142285.85</v>
      </c>
      <c r="D8" s="95">
        <f>'DOE25'!G9</f>
        <v>12846.37</v>
      </c>
      <c r="E8" s="95">
        <f>'DOE25'!H9</f>
        <v>-64019.68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857370.8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18564.07</v>
      </c>
      <c r="D12" s="95">
        <f>'DOE25'!G13</f>
        <v>2498.02</v>
      </c>
      <c r="E12" s="95">
        <f>'DOE25'!H13</f>
        <v>74587.259999999995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1739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2108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164696.92000000001</v>
      </c>
      <c r="D18" s="41">
        <f>SUM(D8:D17)</f>
        <v>15344.390000000001</v>
      </c>
      <c r="E18" s="41">
        <f>SUM(E8:E17)</f>
        <v>10567.579999999994</v>
      </c>
      <c r="F18" s="41">
        <f>SUM(F8:F17)</f>
        <v>0</v>
      </c>
      <c r="G18" s="41">
        <f>SUM(G8:G17)</f>
        <v>857370.8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30128.98</v>
      </c>
      <c r="D23" s="95">
        <f>'DOE25'!G24</f>
        <v>14174.73</v>
      </c>
      <c r="E23" s="95">
        <f>'DOE25'!H24</f>
        <v>10567.58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30128.98</v>
      </c>
      <c r="D31" s="41">
        <f>SUM(D21:D30)</f>
        <v>14174.73</v>
      </c>
      <c r="E31" s="41">
        <f>SUM(E21:E30)</f>
        <v>10567.58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1169.6600000000001</v>
      </c>
      <c r="E47" s="95">
        <f>'DOE25'!H48</f>
        <v>0</v>
      </c>
      <c r="F47" s="95">
        <f>'DOE25'!I48</f>
        <v>0</v>
      </c>
      <c r="G47" s="95">
        <f>'DOE25'!J48</f>
        <v>857370.8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59567.33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0.61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134567.94</v>
      </c>
      <c r="D50" s="41">
        <f>SUM(D34:D49)</f>
        <v>1169.6600000000001</v>
      </c>
      <c r="E50" s="41">
        <f>SUM(E34:E49)</f>
        <v>0</v>
      </c>
      <c r="F50" s="41">
        <f>SUM(F34:F49)</f>
        <v>0</v>
      </c>
      <c r="G50" s="41">
        <f>SUM(G34:G49)</f>
        <v>857370.8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164696.92000000001</v>
      </c>
      <c r="D51" s="41">
        <f>D50+D31</f>
        <v>15344.39</v>
      </c>
      <c r="E51" s="41">
        <f>E50+E31</f>
        <v>10567.58</v>
      </c>
      <c r="F51" s="41">
        <f>F50+F31</f>
        <v>0</v>
      </c>
      <c r="G51" s="41">
        <f>G50+G31</f>
        <v>857370.8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1886193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869.22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4385.3500000000004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17621.75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16807.16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17676.38</v>
      </c>
      <c r="D62" s="130">
        <f>SUM(D57:D61)</f>
        <v>17621.75</v>
      </c>
      <c r="E62" s="130">
        <f>SUM(E57:E61)</f>
        <v>0</v>
      </c>
      <c r="F62" s="130">
        <f>SUM(F57:F61)</f>
        <v>0</v>
      </c>
      <c r="G62" s="130">
        <f>SUM(G57:G61)</f>
        <v>4385.3500000000004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1903869.38</v>
      </c>
      <c r="D63" s="22">
        <f>D56+D62</f>
        <v>17621.75</v>
      </c>
      <c r="E63" s="22">
        <f>E56+E62</f>
        <v>0</v>
      </c>
      <c r="F63" s="22">
        <f>F56+F62</f>
        <v>0</v>
      </c>
      <c r="G63" s="22">
        <f>G56+G62</f>
        <v>4385.3500000000004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454168.75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224147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5096.1899999999996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683411.94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663.83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663.83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683411.94</v>
      </c>
      <c r="D81" s="130">
        <f>SUM(D79:D80)+D78+D70</f>
        <v>663.83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29570.05</v>
      </c>
      <c r="D88" s="95">
        <f>SUM('DOE25'!G153:G161)</f>
        <v>55165.9</v>
      </c>
      <c r="E88" s="95">
        <f>SUM('DOE25'!H153:H161)</f>
        <v>243841.31999999998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5909.43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35479.479999999996</v>
      </c>
      <c r="D91" s="131">
        <f>SUM(D85:D90)</f>
        <v>55165.9</v>
      </c>
      <c r="E91" s="131">
        <f>SUM(E85:E90)</f>
        <v>243841.31999999998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3868.72</v>
      </c>
      <c r="E96" s="95">
        <f>'DOE25'!H179</f>
        <v>0</v>
      </c>
      <c r="F96" s="95">
        <f>'DOE25'!I179</f>
        <v>0</v>
      </c>
      <c r="G96" s="95">
        <f>'DOE25'!J179</f>
        <v>225000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3868.72</v>
      </c>
      <c r="E103" s="86">
        <f>SUM(E93:E102)</f>
        <v>0</v>
      </c>
      <c r="F103" s="86">
        <f>SUM(F93:F102)</f>
        <v>0</v>
      </c>
      <c r="G103" s="86">
        <f>SUM(G93:G102)</f>
        <v>225000</v>
      </c>
    </row>
    <row r="104" spans="1:7" ht="12.75" thickTop="1" thickBot="1" x14ac:dyDescent="0.25">
      <c r="A104" s="33" t="s">
        <v>764</v>
      </c>
      <c r="C104" s="86">
        <f>C63+C81+C91+C103</f>
        <v>2622760.7999999998</v>
      </c>
      <c r="D104" s="86">
        <f>D63+D81+D91+D103</f>
        <v>77320.200000000012</v>
      </c>
      <c r="E104" s="86">
        <f>E63+E81+E91+E103</f>
        <v>243841.31999999998</v>
      </c>
      <c r="F104" s="86">
        <f>F63+F81+F91+F103</f>
        <v>0</v>
      </c>
      <c r="G104" s="86">
        <f>G63+G81+G103</f>
        <v>229385.35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1055208.5000000002</v>
      </c>
      <c r="D109" s="24" t="s">
        <v>288</v>
      </c>
      <c r="E109" s="95">
        <f>('DOE25'!L276)+('DOE25'!L295)+('DOE25'!L314)</f>
        <v>90622.27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346368.90000000008</v>
      </c>
      <c r="D110" s="24" t="s">
        <v>288</v>
      </c>
      <c r="E110" s="95">
        <f>('DOE25'!L277)+('DOE25'!L296)+('DOE25'!L315)</f>
        <v>325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74758.320000000007</v>
      </c>
      <c r="D112" s="24" t="s">
        <v>288</v>
      </c>
      <c r="E112" s="95">
        <f>+('DOE25'!L279)+('DOE25'!L298)+('DOE25'!L317)</f>
        <v>128905.29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169.75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1476505.4700000004</v>
      </c>
      <c r="D115" s="86">
        <f>SUM(D109:D114)</f>
        <v>0</v>
      </c>
      <c r="E115" s="86">
        <f>SUM(E109:E114)</f>
        <v>219852.56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264848.32</v>
      </c>
      <c r="D118" s="24" t="s">
        <v>288</v>
      </c>
      <c r="E118" s="95">
        <f>+('DOE25'!L281)+('DOE25'!L300)+('DOE25'!L319)</f>
        <v>956.41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9084.23</v>
      </c>
      <c r="D119" s="24" t="s">
        <v>288</v>
      </c>
      <c r="E119" s="95">
        <f>+('DOE25'!L282)+('DOE25'!L301)+('DOE25'!L320)</f>
        <v>9352.34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93556.02</v>
      </c>
      <c r="D120" s="24" t="s">
        <v>288</v>
      </c>
      <c r="E120" s="95">
        <f>+('DOE25'!L283)+('DOE25'!L302)+('DOE25'!L321)</f>
        <v>5627.69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207808.95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4052.32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218760.93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138670.6</v>
      </c>
      <c r="D124" s="24" t="s">
        <v>288</v>
      </c>
      <c r="E124" s="95">
        <f>+('DOE25'!L287)+('DOE25'!L306)+('DOE25'!L325)</f>
        <v>4000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77320.2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932729.04999999993</v>
      </c>
      <c r="D128" s="86">
        <f>SUM(D118:D127)</f>
        <v>77320.2</v>
      </c>
      <c r="E128" s="86">
        <f>SUM(E118:E127)</f>
        <v>23988.76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34409.480000000003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3868.72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21.78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229363.57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-4385.3500000000058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263278.19999999995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2672512.7200000007</v>
      </c>
      <c r="D145" s="86">
        <f>(D115+D128+D144)</f>
        <v>77320.2</v>
      </c>
      <c r="E145" s="86">
        <f>(E115+E128+E144)</f>
        <v>243841.32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739</v>
      </c>
      <c r="B1" s="282"/>
      <c r="C1" s="282"/>
      <c r="D1" s="282"/>
    </row>
    <row r="2" spans="1:4" x14ac:dyDescent="0.2">
      <c r="A2" s="187" t="s">
        <v>716</v>
      </c>
      <c r="B2" s="186" t="str">
        <f>'DOE25'!A2</f>
        <v>Rumney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25225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25225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1145831</v>
      </c>
      <c r="D10" s="182">
        <f>ROUND((C10/$C$28)*100,1)</f>
        <v>42.2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346694</v>
      </c>
      <c r="D11" s="182">
        <f>ROUND((C11/$C$28)*100,1)</f>
        <v>12.8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203664</v>
      </c>
      <c r="D13" s="182">
        <f>ROUND((C13/$C$28)*100,1)</f>
        <v>7.5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265805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18437</v>
      </c>
      <c r="D16" s="182">
        <f t="shared" si="0"/>
        <v>0.7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99184</v>
      </c>
      <c r="D17" s="182">
        <f t="shared" si="0"/>
        <v>3.7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207809</v>
      </c>
      <c r="D18" s="182">
        <f t="shared" si="0"/>
        <v>7.7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4052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218761</v>
      </c>
      <c r="D20" s="182">
        <f t="shared" si="0"/>
        <v>8.1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142671</v>
      </c>
      <c r="D21" s="182">
        <f t="shared" si="0"/>
        <v>5.3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170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59698.25</v>
      </c>
      <c r="D27" s="182">
        <f t="shared" si="0"/>
        <v>2.2000000000000002</v>
      </c>
    </row>
    <row r="28" spans="1:4" x14ac:dyDescent="0.2">
      <c r="B28" s="187" t="s">
        <v>722</v>
      </c>
      <c r="C28" s="180">
        <f>SUM(C10:C27)</f>
        <v>2712776.25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34409</v>
      </c>
    </row>
    <row r="30" spans="1:4" x14ac:dyDescent="0.2">
      <c r="B30" s="187" t="s">
        <v>728</v>
      </c>
      <c r="C30" s="180">
        <f>SUM(C28:C29)</f>
        <v>2747185.25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1886193</v>
      </c>
      <c r="D35" s="182">
        <f t="shared" ref="D35:D40" si="1">ROUND((C35/$C$41)*100,1)</f>
        <v>64.400000000000006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22061.729999999981</v>
      </c>
      <c r="D36" s="182">
        <f t="shared" si="1"/>
        <v>0.8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678316</v>
      </c>
      <c r="D37" s="182">
        <f t="shared" si="1"/>
        <v>23.2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5760</v>
      </c>
      <c r="D38" s="182">
        <f t="shared" si="1"/>
        <v>0.2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334487</v>
      </c>
      <c r="D39" s="182">
        <f t="shared" si="1"/>
        <v>11.4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2926817.73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769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766</v>
      </c>
      <c r="B2" s="300"/>
      <c r="C2" s="300"/>
      <c r="D2" s="300"/>
      <c r="E2" s="300"/>
      <c r="F2" s="297" t="str">
        <f>'DOE25'!A2</f>
        <v>Rumney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5" t="s">
        <v>770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847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2017-08-30T13:12:38Z</cp:lastPrinted>
  <dcterms:created xsi:type="dcterms:W3CDTF">1997-12-04T19:04:30Z</dcterms:created>
  <dcterms:modified xsi:type="dcterms:W3CDTF">2017-11-29T18:05:20Z</dcterms:modified>
</cp:coreProperties>
</file>