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456" i="1" l="1"/>
  <c r="F472" i="1"/>
  <c r="J468" i="1"/>
  <c r="G521" i="1" l="1"/>
  <c r="F521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C11" i="10" s="1"/>
  <c r="L278" i="1"/>
  <c r="L279" i="1"/>
  <c r="L281" i="1"/>
  <c r="L282" i="1"/>
  <c r="E119" i="2" s="1"/>
  <c r="L283" i="1"/>
  <c r="E120" i="2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F22" i="13" s="1"/>
  <c r="C22" i="13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3" i="10"/>
  <c r="C15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C18" i="2" s="1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D18" i="2" s="1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C111" i="2"/>
  <c r="E111" i="2"/>
  <c r="E112" i="2"/>
  <c r="C113" i="2"/>
  <c r="E113" i="2"/>
  <c r="C114" i="2"/>
  <c r="E114" i="2"/>
  <c r="D115" i="2"/>
  <c r="F115" i="2"/>
  <c r="G115" i="2"/>
  <c r="C118" i="2"/>
  <c r="E118" i="2"/>
  <c r="E121" i="2"/>
  <c r="C122" i="2"/>
  <c r="E122" i="2"/>
  <c r="C123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I257" i="1" s="1"/>
  <c r="I271" i="1" s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J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G461" i="1" s="1"/>
  <c r="H640" i="1" s="1"/>
  <c r="H460" i="1"/>
  <c r="I460" i="1"/>
  <c r="F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K545" i="1" s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G641" i="1"/>
  <c r="H641" i="1"/>
  <c r="H642" i="1"/>
  <c r="G643" i="1"/>
  <c r="H643" i="1"/>
  <c r="G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K257" i="1"/>
  <c r="G164" i="2"/>
  <c r="C26" i="10"/>
  <c r="L328" i="1"/>
  <c r="L351" i="1"/>
  <c r="A31" i="12"/>
  <c r="C70" i="2"/>
  <c r="D62" i="2"/>
  <c r="D63" i="2" s="1"/>
  <c r="D18" i="13"/>
  <c r="C18" i="13" s="1"/>
  <c r="D15" i="13"/>
  <c r="C15" i="13" s="1"/>
  <c r="D17" i="13"/>
  <c r="C17" i="13" s="1"/>
  <c r="D6" i="13"/>
  <c r="C6" i="13" s="1"/>
  <c r="C91" i="2"/>
  <c r="F78" i="2"/>
  <c r="F81" i="2" s="1"/>
  <c r="D50" i="2"/>
  <c r="G157" i="2"/>
  <c r="F18" i="2"/>
  <c r="G161" i="2"/>
  <c r="G156" i="2"/>
  <c r="G62" i="2"/>
  <c r="D19" i="13"/>
  <c r="C19" i="13" s="1"/>
  <c r="E13" i="13"/>
  <c r="C13" i="13" s="1"/>
  <c r="E78" i="2"/>
  <c r="E81" i="2" s="1"/>
  <c r="L427" i="1"/>
  <c r="H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3" i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50" i="1"/>
  <c r="G22" i="2"/>
  <c r="J552" i="1"/>
  <c r="C29" i="10"/>
  <c r="H140" i="1"/>
  <c r="L401" i="1"/>
  <c r="C139" i="2" s="1"/>
  <c r="A13" i="12"/>
  <c r="H25" i="13"/>
  <c r="C25" i="13" s="1"/>
  <c r="H571" i="1"/>
  <c r="L560" i="1"/>
  <c r="J545" i="1"/>
  <c r="F338" i="1"/>
  <c r="F352" i="1" s="1"/>
  <c r="G192" i="1"/>
  <c r="H192" i="1"/>
  <c r="F552" i="1"/>
  <c r="C35" i="10"/>
  <c r="L309" i="1"/>
  <c r="D5" i="13"/>
  <c r="C5" i="13" s="1"/>
  <c r="E16" i="13"/>
  <c r="C16" i="13" s="1"/>
  <c r="J645" i="1"/>
  <c r="L570" i="1"/>
  <c r="I571" i="1"/>
  <c r="J636" i="1"/>
  <c r="G36" i="2"/>
  <c r="K551" i="1"/>
  <c r="H33" i="13"/>
  <c r="L524" i="1" l="1"/>
  <c r="L545" i="1" s="1"/>
  <c r="A40" i="12"/>
  <c r="K271" i="1"/>
  <c r="L614" i="1"/>
  <c r="K598" i="1"/>
  <c r="G647" i="1" s="1"/>
  <c r="J647" i="1" s="1"/>
  <c r="J649" i="1"/>
  <c r="H552" i="1"/>
  <c r="I545" i="1"/>
  <c r="K549" i="1"/>
  <c r="K552" i="1" s="1"/>
  <c r="H545" i="1"/>
  <c r="G545" i="1"/>
  <c r="J476" i="1"/>
  <c r="H626" i="1" s="1"/>
  <c r="H476" i="1"/>
  <c r="H624" i="1" s="1"/>
  <c r="J624" i="1" s="1"/>
  <c r="F476" i="1"/>
  <c r="H622" i="1" s="1"/>
  <c r="J622" i="1" s="1"/>
  <c r="J640" i="1"/>
  <c r="I446" i="1"/>
  <c r="G642" i="1" s="1"/>
  <c r="J642" i="1" s="1"/>
  <c r="J634" i="1"/>
  <c r="I661" i="1"/>
  <c r="D29" i="13"/>
  <c r="C29" i="13" s="1"/>
  <c r="D127" i="2"/>
  <c r="D128" i="2" s="1"/>
  <c r="D145" i="2" s="1"/>
  <c r="H661" i="1"/>
  <c r="L362" i="1"/>
  <c r="C27" i="10" s="1"/>
  <c r="I662" i="1"/>
  <c r="C21" i="10"/>
  <c r="C18" i="10"/>
  <c r="E128" i="2"/>
  <c r="J338" i="1"/>
  <c r="J352" i="1" s="1"/>
  <c r="C16" i="10"/>
  <c r="L290" i="1"/>
  <c r="L338" i="1" s="1"/>
  <c r="L352" i="1" s="1"/>
  <c r="G633" i="1" s="1"/>
  <c r="J633" i="1" s="1"/>
  <c r="E110" i="2"/>
  <c r="E115" i="2"/>
  <c r="G257" i="1"/>
  <c r="G271" i="1" s="1"/>
  <c r="L247" i="1"/>
  <c r="H660" i="1" s="1"/>
  <c r="H664" i="1" s="1"/>
  <c r="H257" i="1"/>
  <c r="H271" i="1" s="1"/>
  <c r="C10" i="10"/>
  <c r="C17" i="10"/>
  <c r="D14" i="13"/>
  <c r="C14" i="13" s="1"/>
  <c r="D12" i="13"/>
  <c r="C12" i="13" s="1"/>
  <c r="C121" i="2"/>
  <c r="E8" i="13"/>
  <c r="C8" i="13" s="1"/>
  <c r="C120" i="2"/>
  <c r="D7" i="13"/>
  <c r="C7" i="13" s="1"/>
  <c r="C119" i="2"/>
  <c r="C109" i="2"/>
  <c r="C115" i="2" s="1"/>
  <c r="L211" i="1"/>
  <c r="C81" i="2"/>
  <c r="C62" i="2"/>
  <c r="C63" i="2" s="1"/>
  <c r="D31" i="2"/>
  <c r="H52" i="1"/>
  <c r="H619" i="1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E104" i="2"/>
  <c r="I663" i="1"/>
  <c r="H646" i="1" l="1"/>
  <c r="G104" i="2"/>
  <c r="G667" i="1"/>
  <c r="G635" i="1"/>
  <c r="J635" i="1" s="1"/>
  <c r="E145" i="2"/>
  <c r="D31" i="13"/>
  <c r="C31" i="13" s="1"/>
  <c r="H667" i="1"/>
  <c r="H672" i="1"/>
  <c r="C6" i="10" s="1"/>
  <c r="L257" i="1"/>
  <c r="L271" i="1" s="1"/>
  <c r="G632" i="1" s="1"/>
  <c r="J632" i="1" s="1"/>
  <c r="C28" i="10"/>
  <c r="D24" i="10" s="1"/>
  <c r="C128" i="2"/>
  <c r="C145" i="2" s="1"/>
  <c r="E33" i="13"/>
  <c r="D35" i="13" s="1"/>
  <c r="F660" i="1"/>
  <c r="C104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D26" i="10"/>
  <c r="D15" i="10"/>
  <c r="D16" i="10"/>
  <c r="D10" i="10"/>
  <c r="D23" i="10"/>
  <c r="C30" i="10"/>
  <c r="D13" i="10"/>
  <c r="D11" i="10"/>
  <c r="D21" i="10"/>
  <c r="D22" i="10"/>
  <c r="D20" i="10"/>
  <c r="D25" i="10"/>
  <c r="D19" i="10"/>
  <c r="D27" i="10"/>
  <c r="D18" i="10"/>
  <c r="D17" i="10"/>
  <c r="D12" i="10"/>
  <c r="I660" i="1"/>
  <c r="I664" i="1" s="1"/>
  <c r="I672" i="1" s="1"/>
  <c r="C7" i="10" s="1"/>
  <c r="F664" i="1"/>
  <c r="H656" i="1"/>
  <c r="C41" i="10"/>
  <c r="D38" i="10" s="1"/>
  <c r="D28" i="10" l="1"/>
  <c r="F672" i="1"/>
  <c r="C4" i="10" s="1"/>
  <c r="F667" i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<sst xmlns="http://schemas.openxmlformats.org/spreadsheetml/2006/main" count="3957" uniqueCount="915">
  <si>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</si>
  <si>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</si>
  <si>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</si>
  <si>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</si>
  <si>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</si>
  <si>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</si>
  <si>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</si>
  <si>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</si>
  <si>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</si>
  <si>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</si>
  <si>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</si>
  <si>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</si>
  <si>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</si>
  <si>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</si>
  <si>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</si>
  <si>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</si>
  <si>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</si>
  <si>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</si>
  <si>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</si>
  <si>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</si>
  <si>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</si>
  <si>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</si>
  <si>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</si>
  <si>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</si>
  <si>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</si>
  <si>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</si>
  <si>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</si>
  <si>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</si>
  <si>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</si>
  <si>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</si>
  <si>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</si>
  <si>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</si>
  <si>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</si>
  <si>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</si>
  <si>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</si>
  <si>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</si>
  <si>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</si>
  <si>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</si>
  <si>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</si>
  <si>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</si>
  <si>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</si>
  <si>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</si>
  <si>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</si>
  <si>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</si>
  <si>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</si>
  <si>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</si>
  <si>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</si>
  <si>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</si>
  <si>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</si>
  <si>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</si>
  <si>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</si>
  <si>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</si>
  <si>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</si>
  <si>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</si>
  <si>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</si>
  <si>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</si>
  <si>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</si>
  <si>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</si>
  <si>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</si>
  <si>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</si>
  <si>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</si>
  <si>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</si>
  <si>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</si>
  <si>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</si>
  <si>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</si>
  <si>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</si>
  <si>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</si>
  <si>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</si>
  <si>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</si>
  <si>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</si>
  <si>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</si>
  <si>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</si>
  <si>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</si>
  <si>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</si>
  <si>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</si>
  <si>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</si>
  <si>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</si>
  <si>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</si>
  <si>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</si>
  <si>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</si>
  <si>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</si>
  <si>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</si>
  <si>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</si>
  <si>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</si>
  <si>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</si>
  <si>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</si>
  <si>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</si>
  <si>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</si>
  <si>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</si>
  <si>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</si>
  <si>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</si>
  <si>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</si>
  <si>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</si>
  <si>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</si>
  <si>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</si>
  <si>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</si>
  <si>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</si>
  <si>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</si>
  <si>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</si>
  <si>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</si>
  <si>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</si>
  <si>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</si>
  <si>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</si>
  <si>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</si>
  <si>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</si>
  <si>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</si>
  <si>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</si>
  <si>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</si>
  <si>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</si>
  <si>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</si>
  <si>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</si>
  <si>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</si>
  <si>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</si>
  <si>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</si>
  <si>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</si>
  <si>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</si>
  <si>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</si>
  <si>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</si>
  <si>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</si>
  <si>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</si>
  <si>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</si>
  <si>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</si>
  <si>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</si>
  <si>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</si>
  <si>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</si>
  <si>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</si>
  <si>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</si>
  <si>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</si>
  <si>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</si>
  <si>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</si>
  <si>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</si>
  <si>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</si>
  <si>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</si>
  <si>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</si>
  <si>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</si>
  <si>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</si>
  <si>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</si>
  <si>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</si>
  <si>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</si>
  <si>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</si>
  <si>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</si>
  <si>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</si>
  <si>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</si>
  <si>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</si>
  <si>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</si>
  <si>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</si>
  <si>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</si>
  <si>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</si>
  <si>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</si>
  <si>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</si>
  <si>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</si>
  <si>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</si>
  <si>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</si>
  <si>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</si>
  <si>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</si>
  <si>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</si>
  <si>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</si>
  <si>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</si>
  <si>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</si>
  <si>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</si>
  <si>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</si>
  <si>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</si>
  <si>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</si>
  <si>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</si>
  <si>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</si>
  <si>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</si>
  <si>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</si>
  <si>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</si>
  <si>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</si>
  <si>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</si>
  <si>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</si>
  <si>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</si>
  <si>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</si>
  <si>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</si>
  <si>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</si>
  <si>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</si>
  <si>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</si>
  <si>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</si>
  <si>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</si>
  <si>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</si>
  <si>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</si>
  <si>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</si>
  <si>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</si>
  <si>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</si>
  <si>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</si>
  <si>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</si>
  <si>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</si>
  <si>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</si>
  <si>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</si>
  <si>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</si>
  <si>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</si>
  <si>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</si>
  <si>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</si>
  <si>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</si>
  <si>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</si>
  <si>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</si>
  <si>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</si>
  <si>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</si>
  <si>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</si>
  <si>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</si>
  <si>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</si>
  <si>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</si>
  <si>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</si>
  <si>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</si>
  <si>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</si>
  <si>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</si>
  <si>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</si>
  <si>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</si>
  <si>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</si>
  <si>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</si>
  <si>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</si>
  <si>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</si>
  <si>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</si>
  <si>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</si>
  <si>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</si>
  <si>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</si>
  <si>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</si>
  <si>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</si>
  <si>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</si>
  <si>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</si>
  <si>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</si>
  <si>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</si>
  <si>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</si>
  <si>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</si>
  <si>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</si>
  <si>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</si>
  <si>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</si>
  <si>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</si>
  <si>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</si>
  <si>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</si>
  <si>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</si>
  <si>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</si>
  <si>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</si>
  <si>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</si>
  <si>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</si>
  <si>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</si>
  <si>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</si>
  <si>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</si>
  <si>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</si>
  <si>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</si>
  <si>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</si>
  <si>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</si>
  <si>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</si>
  <si>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</si>
  <si>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</si>
  <si>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</si>
  <si>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</si>
  <si>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</si>
  <si>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</si>
  <si>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</si>
  <si>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</si>
  <si>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</si>
  <si>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</si>
  <si>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</si>
  <si>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</si>
  <si>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</si>
  <si>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</si>
  <si>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</si>
  <si>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</si>
  <si>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</si>
  <si>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</si>
  <si>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</si>
  <si>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</si>
  <si>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</si>
  <si>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</si>
  <si>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</si>
  <si>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</si>
  <si>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</si>
  <si>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</si>
  <si>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</si>
  <si>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</si>
  <si>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</si>
  <si>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</si>
  <si>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</si>
  <si>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</si>
  <si>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</si>
  <si>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</si>
  <si>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</si>
  <si>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</si>
  <si>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</si>
  <si>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</si>
  <si>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</si>
  <si>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</si>
  <si>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</si>
  <si>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</si>
  <si>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</si>
  <si>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</si>
  <si>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</si>
  <si>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</si>
  <si>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</si>
  <si>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</si>
  <si>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</si>
  <si>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</si>
  <si>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</si>
  <si>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</si>
  <si>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</si>
  <si>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</si>
  <si>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</si>
  <si>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</si>
  <si>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</si>
  <si>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</si>
  <si>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</si>
  <si>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</si>
  <si>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</si>
  <si>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</si>
  <si>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</si>
  <si>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</si>
  <si>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</si>
  <si>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</si>
  <si>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</si>
  <si>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</si>
  <si>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</si>
  <si>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</si>
  <si>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</si>
  <si>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</si>
  <si>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</si>
  <si>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</si>
  <si>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</si>
  <si>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</si>
  <si>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</si>
  <si>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</si>
  <si>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</si>
  <si>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</si>
  <si>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</si>
  <si>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</si>
  <si>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</si>
  <si>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</si>
  <si>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</si>
  <si>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</si>
  <si>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</si>
  <si>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</si>
  <si>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</si>
  <si>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</si>
  <si>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</si>
  <si>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</si>
  <si>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</si>
  <si>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</si>
  <si>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</si>
  <si>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</si>
  <si>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</si>
  <si>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</si>
  <si>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</si>
  <si>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</si>
  <si>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</si>
  <si>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</si>
  <si>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</si>
  <si>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</si>
  <si>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</si>
  <si>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</si>
  <si>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</si>
  <si>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</si>
  <si>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</si>
  <si>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</si>
  <si>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</si>
  <si>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</si>
  <si>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</si>
  <si>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</si>
  <si>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</si>
  <si>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</si>
  <si>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</si>
  <si>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</si>
  <si>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</si>
  <si>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</si>
  <si>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</si>
  <si>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</si>
  <si>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</si>
  <si>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</si>
  <si>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</si>
  <si>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</si>
  <si>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</si>
  <si>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</si>
  <si>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</si>
  <si>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</si>
  <si>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</si>
  <si>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</si>
  <si>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</si>
  <si>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</si>
  <si>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</si>
  <si>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</si>
  <si>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</si>
  <si>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</si>
  <si>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</si>
  <si>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</si>
  <si>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</si>
  <si>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</si>
  <si>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</si>
  <si>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</si>
  <si>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</si>
  <si>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</si>
  <si>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</si>
  <si>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</si>
  <si>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</si>
  <si>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</si>
  <si>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</si>
  <si>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</si>
  <si>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</si>
  <si>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</si>
  <si>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</si>
  <si>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</si>
  <si>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</si>
  <si>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</si>
  <si>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</si>
  <si>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</si>
  <si>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</si>
  <si>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</si>
  <si>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</si>
  <si>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</si>
  <si>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</si>
  <si>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</si>
  <si>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</si>
  <si>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</si>
  <si>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</si>
  <si>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</si>
  <si>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</si>
  <si>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</si>
  <si>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</si>
  <si>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</si>
  <si>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</si>
  <si>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</si>
  <si>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</si>
  <si>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</si>
  <si>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</si>
  <si>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</si>
  <si>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</si>
  <si>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</si>
  <si>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</si>
  <si>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</si>
  <si>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</si>
  <si>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</si>
  <si>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</si>
  <si>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</si>
  <si>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</si>
  <si>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</si>
  <si>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</si>
  <si>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</si>
  <si>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</si>
  <si>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</si>
  <si>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</si>
  <si>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</si>
  <si>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</si>
  <si>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</si>
  <si>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</si>
  <si>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</si>
  <si>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</si>
  <si>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</si>
  <si>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</si>
  <si>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</si>
  <si>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</si>
  <si>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</si>
  <si>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</si>
  <si>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</si>
  <si>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</si>
  <si>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</si>
  <si>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</si>
  <si>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</si>
  <si>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</si>
  <si>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</si>
  <si>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</si>
  <si>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</si>
  <si>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</si>
  <si>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</si>
  <si>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</si>
  <si>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</si>
  <si>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</si>
  <si>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</si>
  <si>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</si>
  <si>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</si>
  <si>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</si>
  <si>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</si>
  <si>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</si>
  <si>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</si>
  <si>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</si>
  <si>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</si>
  <si>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</si>
  <si>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</si>
  <si>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</si>
  <si>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</si>
  <si>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</si>
  <si>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</si>
  <si>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</si>
  <si>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</si>
  <si>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</si>
  <si>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</si>
  <si>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</si>
  <si>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</si>
  <si>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</si>
  <si>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</si>
  <si>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</si>
  <si>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</si>
  <si>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</si>
  <si>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</si>
  <si>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</si>
  <si>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</si>
  <si>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</si>
  <si>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</si>
  <si>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</si>
  <si>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</si>
  <si>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</si>
  <si>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</si>
  <si>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</si>
  <si>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</si>
  <si>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</si>
  <si>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</si>
  <si>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</si>
  <si>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</si>
  <si>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</si>
  <si>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</si>
  <si>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</si>
  <si>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</si>
  <si>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</si>
  <si>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</si>
  <si>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</si>
  <si>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</si>
  <si>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</si>
  <si>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</si>
  <si>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</si>
  <si>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</si>
  <si>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</si>
  <si>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</si>
  <si>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</si>
  <si>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</si>
  <si>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</si>
  <si>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</si>
  <si>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</si>
  <si>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</si>
  <si>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</si>
  <si>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</si>
  <si>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</si>
  <si>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</si>
  <si>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</si>
  <si>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</si>
  <si>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</si>
  <si>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</si>
  <si>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</si>
  <si>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</si>
  <si>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</si>
  <si>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</si>
  <si>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</si>
  <si>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</si>
  <si>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</si>
  <si>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</si>
  <si>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</si>
  <si>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</si>
  <si>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</si>
  <si>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</si>
  <si>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</si>
  <si>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</si>
  <si>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</si>
  <si>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</si>
  <si>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</si>
  <si>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</si>
  <si>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</si>
  <si>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</si>
  <si>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</si>
  <si>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</si>
  <si>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</si>
  <si>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</si>
  <si>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</si>
  <si>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</si>
  <si>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</si>
  <si>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</si>
  <si>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</si>
  <si>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</si>
  <si>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</si>
  <si>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</si>
  <si>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</si>
  <si>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</si>
  <si>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</si>
  <si>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</si>
  <si>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</si>
  <si>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</si>
  <si>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</si>
  <si>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</si>
  <si>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</si>
  <si>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</si>
  <si>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</si>
  <si>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</si>
  <si>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</si>
  <si>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</si>
  <si>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</si>
  <si>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</si>
  <si>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</si>
  <si>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</si>
  <si>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</si>
  <si>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</si>
  <si>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</si>
  <si>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</si>
  <si>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</si>
  <si>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</si>
  <si>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</si>
  <si>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</si>
  <si>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</si>
  <si>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</si>
  <si>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</si>
  <si>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</si>
  <si>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</si>
  <si>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</si>
  <si>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</si>
  <si>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</si>
  <si>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</si>
  <si>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</si>
  <si>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</si>
  <si>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</si>
  <si>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</si>
  <si>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</si>
  <si>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</si>
  <si>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</si>
  <si>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</si>
  <si>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</si>
  <si>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</si>
  <si>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</si>
  <si>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</si>
  <si>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</si>
  <si>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</si>
  <si>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</si>
  <si>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</si>
  <si>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</si>
  <si>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</si>
  <si>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</si>
  <si>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</si>
  <si>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</si>
  <si>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</si>
  <si>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</si>
  <si>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</si>
  <si>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</si>
  <si>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</si>
  <si>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</si>
  <si>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</si>
  <si>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</si>
  <si>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</si>
  <si>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</si>
  <si>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</si>
  <si>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</si>
  <si>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</si>
  <si>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</si>
  <si>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</si>
  <si>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</si>
  <si>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</si>
  <si>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</si>
  <si>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</si>
  <si>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</si>
  <si>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</si>
  <si>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</si>
  <si>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</si>
  <si>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</si>
  <si>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</si>
  <si>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</si>
  <si>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</si>
  <si>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</si>
  <si>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</si>
  <si>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</si>
  <si>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</si>
  <si>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</si>
  <si>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</si>
  <si>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</si>
  <si>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</si>
  <si>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</si>
  <si>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</si>
  <si>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</si>
  <si>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</si>
  <si>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</si>
  <si>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</si>
  <si>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</si>
  <si>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</si>
  <si>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</si>
  <si>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</si>
  <si>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</si>
  <si>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</si>
  <si>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</si>
  <si>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</si>
  <si>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</si>
  <si>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</si>
  <si>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</si>
  <si>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</si>
  <si>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</si>
  <si>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</si>
  <si>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</si>
  <si>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</si>
  <si>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</si>
  <si>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</si>
  <si>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</si>
  <si>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</si>
  <si>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</si>
  <si>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</si>
  <si>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</si>
  <si>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</si>
  <si>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</si>
  <si>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</si>
  <si>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</si>
  <si>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</si>
  <si>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</si>
  <si>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</si>
  <si>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</si>
  <si>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</si>
  <si>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</si>
  <si>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</si>
  <si>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</si>
  <si>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</si>
  <si>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</si>
  <si>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</si>
  <si>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</si>
  <si>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</si>
  <si>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</si>
  <si>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</si>
  <si>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</si>
  <si>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</si>
  <si>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</si>
  <si>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</si>
  <si>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</si>
  <si>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</si>
  <si>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</si>
  <si>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</si>
  <si>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</si>
  <si>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</si>
  <si>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</si>
  <si>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</si>
  <si>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</si>
  <si>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</si>
  <si>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</si>
  <si>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</si>
  <si>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</si>
  <si>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</si>
  <si>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</si>
  <si>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</si>
  <si>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</si>
  <si>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</si>
  <si>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</si>
  <si>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</si>
  <si>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</si>
  <si>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</si>
  <si>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</si>
  <si>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</si>
  <si>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</si>
  <si>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</si>
  <si>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</si>
  <si>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</si>
  <si>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</si>
  <si>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</si>
  <si>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</si>
  <si>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</si>
  <si>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</si>
  <si>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</si>
  <si>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</si>
  <si>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</si>
  <si>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</si>
  <si>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</si>
  <si>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</si>
  <si>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</si>
  <si>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</si>
  <si>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</si>
  <si>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</si>
  <si>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</si>
  <si>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</si>
  <si>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</si>
  <si>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</si>
  <si>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</si>
  <si>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</si>
  <si>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</si>
  <si>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</si>
  <si>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</si>
  <si>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</si>
  <si>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</si>
  <si>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</si>
  <si>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</si>
  <si>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</si>
  <si>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</si>
  <si>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</si>
  <si>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</si>
  <si>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</si>
  <si>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</si>
  <si>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</si>
  <si>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</si>
  <si>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</si>
  <si>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</si>
  <si>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</si>
  <si>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</si>
  <si>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</si>
  <si>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</si>
  <si>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</si>
  <si>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</si>
  <si>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</si>
  <si>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</si>
  <si>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</si>
  <si>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</si>
  <si>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</si>
  <si>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</si>
  <si>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</si>
  <si>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</si>
  <si>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</si>
  <si>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</si>
  <si>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</si>
  <si>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</si>
  <si>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</si>
  <si>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</si>
  <si>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</si>
  <si>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</si>
  <si>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</si>
  <si>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</si>
  <si>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</si>
  <si>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</si>
  <si>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</si>
  <si>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</si>
  <si>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</si>
  <si>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</si>
  <si>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</si>
  <si>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</si>
  <si>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</si>
  <si>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</si>
  <si>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</si>
  <si>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</si>
  <si>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</si>
  <si>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</si>
  <si>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</si>
  <si>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</si>
  <si>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</si>
  <si>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</si>
  <si>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</si>
  <si>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</si>
  <si>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</si>
  <si>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</si>
  <si>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</si>
  <si>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</si>
  <si>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</si>
  <si>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</si>
  <si>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</si>
  <si>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</si>
  <si>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</si>
  <si>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</si>
  <si>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</si>
  <si>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</si>
  <si>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</si>
  <si>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</si>
  <si>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</si>
  <si>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</si>
  <si>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</si>
  <si>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</si>
  <si>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</si>
  <si>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</si>
  <si>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</si>
  <si>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</si>
  <si>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</si>
  <si>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</si>
  <si>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</si>
  <si>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</si>
  <si>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</si>
  <si>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</si>
  <si>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</si>
  <si>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</si>
  <si>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</si>
  <si>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</si>
  <si>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</si>
  <si>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</si>
  <si>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</si>
  <si>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</si>
  <si>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</si>
  <si>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</si>
  <si>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</si>
  <si>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</si>
  <si>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</si>
  <si>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</si>
  <si>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</si>
  <si>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</si>
  <si>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</si>
  <si>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</si>
  <si>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</si>
  <si>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</si>
  <si>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</si>
  <si>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</si>
  <si>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</si>
  <si>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</si>
  <si>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</si>
  <si>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</si>
  <si>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</si>
  <si>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</si>
  <si>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</si>
  <si>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</si>
  <si>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</si>
  <si>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</si>
  <si>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</si>
  <si>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</si>
  <si>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</si>
  <si>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</si>
  <si>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</si>
  <si>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</si>
  <si>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</si>
  <si>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</si>
  <si>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</si>
  <si>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</si>
  <si>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</si>
  <si>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</si>
  <si>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</si>
  <si>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</si>
  <si>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</si>
  <si>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</si>
  <si>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</si>
  <si>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</si>
  <si>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</si>
  <si>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</si>
  <si>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</si>
  <si>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</si>
  <si>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</si>
  <si>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</si>
  <si>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</si>
  <si>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</si>
  <si>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</si>
  <si>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</si>
  <si>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</si>
  <si>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</si>
  <si>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</si>
  <si>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</si>
  <si>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</si>
  <si>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</si>
  <si>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12/96</t>
  </si>
  <si>
    <t>01/17</t>
  </si>
  <si>
    <t>RYE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</si>
</sst>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14" activePane="bottomRight" state="frozen"/>
      <selection pane="topRight" activeCell="F1" sqref="F1"/>
      <selection pane="bottomLeft" activeCell="A4" sqref="A4"/>
      <selection pane="bottomRight" activeCell="G456" sqref="G4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471</v>
      </c>
      <c r="C2" s="21">
        <v>471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712643.19</v>
      </c>
      <c r="G9" s="18"/>
      <c r="H9" s="18">
        <v>43964.639999999999</v>
      </c>
      <c r="I9" s="18"/>
      <c r="J9" s="67">
        <f>SUM(I439)</f>
        <v>60000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185715.04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17175.45</v>
      </c>
      <c r="G12" s="18"/>
      <c r="H12" s="18">
        <v>47882.85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992.08</v>
      </c>
      <c r="G13" s="18">
        <v>1488.4</v>
      </c>
      <c r="H13" s="18">
        <v>5414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574.80999999999995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730810.71999999986</v>
      </c>
      <c r="G19" s="41">
        <f>SUM(G9:G18)</f>
        <v>2063.21</v>
      </c>
      <c r="H19" s="41">
        <f>SUM(H9:H18)</f>
        <v>97261.489999999991</v>
      </c>
      <c r="I19" s="41">
        <f>SUM(I9:I18)</f>
        <v>0</v>
      </c>
      <c r="J19" s="41">
        <f>SUM(J9:J18)</f>
        <v>245715.04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47882.85</v>
      </c>
      <c r="G22" s="18">
        <v>922.24</v>
      </c>
      <c r="H22" s="18">
        <v>16253.21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>
        <v>91.36</v>
      </c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26931.279999999999</v>
      </c>
      <c r="G24" s="18">
        <v>474.8</v>
      </c>
      <c r="H24" s="18">
        <v>7832.47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74814.13</v>
      </c>
      <c r="G32" s="41">
        <f>SUM(G22:G31)</f>
        <v>1488.4</v>
      </c>
      <c r="H32" s="41">
        <f>SUM(H22:H31)</f>
        <v>24085.68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574.80999999999995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>
        <v>33377.449999999997</v>
      </c>
      <c r="I43" s="18"/>
      <c r="J43" s="13">
        <f>SUM(I456)</f>
        <v>245715.03999999998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309444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>
        <v>39798.36</v>
      </c>
      <c r="I48" s="18"/>
      <c r="J48" s="13">
        <f>SUM(I459)</f>
        <v>0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346552.59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655996.59000000008</v>
      </c>
      <c r="G51" s="41">
        <f>SUM(G35:G50)</f>
        <v>574.80999999999995</v>
      </c>
      <c r="H51" s="41">
        <f>SUM(H35:H50)</f>
        <v>73175.81</v>
      </c>
      <c r="I51" s="41">
        <f>SUM(I35:I50)</f>
        <v>0</v>
      </c>
      <c r="J51" s="41">
        <f>SUM(J35:J50)</f>
        <v>245715.03999999998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730810.72000000009</v>
      </c>
      <c r="G52" s="41">
        <f>G51+G32</f>
        <v>2063.21</v>
      </c>
      <c r="H52" s="41">
        <f>H51+H32</f>
        <v>97261.489999999991</v>
      </c>
      <c r="I52" s="41">
        <f>I51+I32</f>
        <v>0</v>
      </c>
      <c r="J52" s="41">
        <f>J51+J32</f>
        <v>245715.03999999998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7696629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7696629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7449.6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73878.559999999998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81328.160000000003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/>
      <c r="H96" s="18"/>
      <c r="I96" s="18"/>
      <c r="J96" s="18">
        <v>1822.75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123597.87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78536.86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150</v>
      </c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2448.3200000000002</v>
      </c>
      <c r="G110" s="18"/>
      <c r="H110" s="18">
        <v>6365.65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2598.3200000000002</v>
      </c>
      <c r="G111" s="41">
        <f>SUM(G96:G110)</f>
        <v>123597.87</v>
      </c>
      <c r="H111" s="41">
        <f>SUM(H96:H110)</f>
        <v>84902.51</v>
      </c>
      <c r="I111" s="41">
        <f>SUM(I96:I110)</f>
        <v>0</v>
      </c>
      <c r="J111" s="41">
        <f>SUM(J96:J110)</f>
        <v>1822.75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7780555.4800000004</v>
      </c>
      <c r="G112" s="41">
        <f>G60+G111</f>
        <v>123597.87</v>
      </c>
      <c r="H112" s="41">
        <f>H60+H79+H94+H111</f>
        <v>84902.51</v>
      </c>
      <c r="I112" s="41">
        <f>I60+I111</f>
        <v>0</v>
      </c>
      <c r="J112" s="41">
        <f>J60+J111</f>
        <v>1822.75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/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4681153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4681153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92425.8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19100.18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1913.34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111525.98000000001</v>
      </c>
      <c r="G136" s="41">
        <f>SUM(G123:G135)</f>
        <v>1913.34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4792678.9800000004</v>
      </c>
      <c r="G140" s="41">
        <f>G121+SUM(G136:G137)</f>
        <v>1913.34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61404.6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22257.24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23842.53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23842.53</v>
      </c>
      <c r="G162" s="41">
        <f>SUM(G150:G161)</f>
        <v>22257.24</v>
      </c>
      <c r="H162" s="41">
        <f>SUM(H150:H161)</f>
        <v>61404.6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23842.53</v>
      </c>
      <c r="G169" s="41">
        <f>G147+G162+SUM(G163:G168)</f>
        <v>22257.24</v>
      </c>
      <c r="H169" s="41">
        <f>H147+H162+SUM(H163:H168)</f>
        <v>61404.6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23482.3</v>
      </c>
      <c r="H179" s="18">
        <v>97</v>
      </c>
      <c r="I179" s="18"/>
      <c r="J179" s="18">
        <v>60000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23482.3</v>
      </c>
      <c r="H183" s="41">
        <f>SUM(H179:H182)</f>
        <v>97</v>
      </c>
      <c r="I183" s="41">
        <f>SUM(I179:I182)</f>
        <v>0</v>
      </c>
      <c r="J183" s="41">
        <f>SUM(J179:J182)</f>
        <v>60000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23482.3</v>
      </c>
      <c r="H192" s="41">
        <f>+H183+SUM(H188:H191)</f>
        <v>97</v>
      </c>
      <c r="I192" s="41">
        <f>I177+I183+SUM(I188:I191)</f>
        <v>0</v>
      </c>
      <c r="J192" s="41">
        <f>J183</f>
        <v>60000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12597076.99</v>
      </c>
      <c r="G193" s="47">
        <f>G112+G140+G169+G192</f>
        <v>171250.74999999997</v>
      </c>
      <c r="H193" s="47">
        <f>H112+H140+H169+H192</f>
        <v>146404.10999999999</v>
      </c>
      <c r="I193" s="47">
        <f>I112+I140+I169+I192</f>
        <v>0</v>
      </c>
      <c r="J193" s="47">
        <f>J112+J140+J192</f>
        <v>61822.75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2963365.71</v>
      </c>
      <c r="G197" s="18">
        <v>1185203.0900000001</v>
      </c>
      <c r="H197" s="18">
        <v>21478.77</v>
      </c>
      <c r="I197" s="18">
        <v>102136.43</v>
      </c>
      <c r="J197" s="18">
        <v>17258.560000000001</v>
      </c>
      <c r="K197" s="18"/>
      <c r="L197" s="19">
        <f>SUM(F197:K197)</f>
        <v>4289442.5599999996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676873.64</v>
      </c>
      <c r="G198" s="18">
        <v>270716.75</v>
      </c>
      <c r="H198" s="18">
        <v>65558.990000000005</v>
      </c>
      <c r="I198" s="18">
        <v>4300.1899999999996</v>
      </c>
      <c r="J198" s="18">
        <v>4187.67</v>
      </c>
      <c r="K198" s="18">
        <v>530</v>
      </c>
      <c r="L198" s="19">
        <f>SUM(F198:K198)</f>
        <v>1022167.24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79250</v>
      </c>
      <c r="G200" s="18">
        <v>6266.47</v>
      </c>
      <c r="H200" s="18">
        <v>43668.81</v>
      </c>
      <c r="I200" s="18">
        <v>1102.29</v>
      </c>
      <c r="J200" s="18">
        <v>577.79999999999995</v>
      </c>
      <c r="K200" s="18">
        <v>219.9</v>
      </c>
      <c r="L200" s="19">
        <f>SUM(F200:K200)</f>
        <v>131085.26999999999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423811.96</v>
      </c>
      <c r="G202" s="18">
        <v>169504.31</v>
      </c>
      <c r="H202" s="18">
        <v>103988.87</v>
      </c>
      <c r="I202" s="18">
        <v>3790.28</v>
      </c>
      <c r="J202" s="18">
        <v>1176.5</v>
      </c>
      <c r="K202" s="18"/>
      <c r="L202" s="19">
        <f t="shared" ref="L202:L208" si="0">SUM(F202:K202)</f>
        <v>702271.92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286738.3</v>
      </c>
      <c r="G203" s="18">
        <v>166485.21</v>
      </c>
      <c r="H203" s="18">
        <v>25359.84</v>
      </c>
      <c r="I203" s="18">
        <v>23700.99</v>
      </c>
      <c r="J203" s="18">
        <v>75816.570000000007</v>
      </c>
      <c r="K203" s="18">
        <v>3619</v>
      </c>
      <c r="L203" s="19">
        <f t="shared" si="0"/>
        <v>581719.91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9243</v>
      </c>
      <c r="G204" s="18">
        <v>1018.86</v>
      </c>
      <c r="H204" s="18">
        <v>531627.5</v>
      </c>
      <c r="I204" s="18">
        <v>1267.8699999999999</v>
      </c>
      <c r="J204" s="18"/>
      <c r="K204" s="18">
        <v>6636.45</v>
      </c>
      <c r="L204" s="19">
        <f t="shared" si="0"/>
        <v>549793.67999999993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323956.12</v>
      </c>
      <c r="G205" s="18">
        <v>131479.82</v>
      </c>
      <c r="H205" s="18">
        <v>18104.36</v>
      </c>
      <c r="I205" s="18">
        <v>1657.01</v>
      </c>
      <c r="J205" s="18"/>
      <c r="K205" s="18">
        <v>854.98</v>
      </c>
      <c r="L205" s="19">
        <f t="shared" si="0"/>
        <v>476052.29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>
        <v>12540.6</v>
      </c>
      <c r="L206" s="19">
        <f t="shared" si="0"/>
        <v>12540.6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307094.03999999998</v>
      </c>
      <c r="G207" s="18">
        <v>122822.78</v>
      </c>
      <c r="H207" s="18">
        <v>222098.75</v>
      </c>
      <c r="I207" s="18">
        <v>191021.69</v>
      </c>
      <c r="J207" s="18">
        <v>9416.9</v>
      </c>
      <c r="K207" s="18"/>
      <c r="L207" s="19">
        <f t="shared" si="0"/>
        <v>852454.16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261715.56</v>
      </c>
      <c r="I208" s="18"/>
      <c r="J208" s="18"/>
      <c r="K208" s="18"/>
      <c r="L208" s="19">
        <f t="shared" si="0"/>
        <v>261715.56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>
        <v>3292.97</v>
      </c>
      <c r="H209" s="18">
        <v>17018.89</v>
      </c>
      <c r="I209" s="18"/>
      <c r="J209" s="18"/>
      <c r="K209" s="18"/>
      <c r="L209" s="19">
        <f>SUM(F209:K209)</f>
        <v>20311.86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5070332.7700000005</v>
      </c>
      <c r="G211" s="41">
        <f t="shared" si="1"/>
        <v>2056790.2600000002</v>
      </c>
      <c r="H211" s="41">
        <f t="shared" si="1"/>
        <v>1310620.3399999999</v>
      </c>
      <c r="I211" s="41">
        <f t="shared" si="1"/>
        <v>328976.75</v>
      </c>
      <c r="J211" s="41">
        <f t="shared" si="1"/>
        <v>108434</v>
      </c>
      <c r="K211" s="41">
        <f t="shared" si="1"/>
        <v>24400.93</v>
      </c>
      <c r="L211" s="41">
        <f t="shared" si="1"/>
        <v>8899555.0499999989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2895053.84</v>
      </c>
      <c r="I233" s="18"/>
      <c r="J233" s="18"/>
      <c r="K233" s="18"/>
      <c r="L233" s="19">
        <f>SUM(F233:K233)</f>
        <v>2895053.84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227774.22</v>
      </c>
      <c r="I234" s="18"/>
      <c r="J234" s="18"/>
      <c r="K234" s="18"/>
      <c r="L234" s="19">
        <f>SUM(F234:K234)</f>
        <v>227774.22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>
        <v>14579.01</v>
      </c>
      <c r="I236" s="18"/>
      <c r="J236" s="18"/>
      <c r="K236" s="18"/>
      <c r="L236" s="19">
        <f>SUM(F236:K236)</f>
        <v>14579.01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1027</v>
      </c>
      <c r="G240" s="18">
        <v>113.21</v>
      </c>
      <c r="H240" s="18">
        <v>59069.72</v>
      </c>
      <c r="I240" s="18">
        <v>140.87</v>
      </c>
      <c r="J240" s="18"/>
      <c r="K240" s="18">
        <v>737.38</v>
      </c>
      <c r="L240" s="19">
        <f t="shared" si="4"/>
        <v>61088.18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56175.9</v>
      </c>
      <c r="I244" s="18"/>
      <c r="J244" s="18"/>
      <c r="K244" s="18"/>
      <c r="L244" s="19">
        <f t="shared" si="4"/>
        <v>56175.9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1027</v>
      </c>
      <c r="G247" s="41">
        <f t="shared" si="5"/>
        <v>113.21</v>
      </c>
      <c r="H247" s="41">
        <f t="shared" si="5"/>
        <v>3252652.69</v>
      </c>
      <c r="I247" s="41">
        <f t="shared" si="5"/>
        <v>140.87</v>
      </c>
      <c r="J247" s="41">
        <f t="shared" si="5"/>
        <v>0</v>
      </c>
      <c r="K247" s="41">
        <f t="shared" si="5"/>
        <v>737.38</v>
      </c>
      <c r="L247" s="41">
        <f t="shared" si="5"/>
        <v>3254671.15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209591</v>
      </c>
      <c r="I255" s="18"/>
      <c r="J255" s="18"/>
      <c r="K255" s="18"/>
      <c r="L255" s="19">
        <f t="shared" si="6"/>
        <v>209591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209591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209591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5071359.7700000005</v>
      </c>
      <c r="G257" s="41">
        <f t="shared" si="8"/>
        <v>2056903.4700000002</v>
      </c>
      <c r="H257" s="41">
        <f t="shared" si="8"/>
        <v>4772864.0299999993</v>
      </c>
      <c r="I257" s="41">
        <f t="shared" si="8"/>
        <v>329117.62</v>
      </c>
      <c r="J257" s="41">
        <f t="shared" si="8"/>
        <v>108434</v>
      </c>
      <c r="K257" s="41">
        <f t="shared" si="8"/>
        <v>25138.31</v>
      </c>
      <c r="L257" s="41">
        <f t="shared" si="8"/>
        <v>12363817.199999999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280000</v>
      </c>
      <c r="L260" s="19">
        <f>SUM(F260:K260)</f>
        <v>280000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15400</v>
      </c>
      <c r="L261" s="19">
        <f>SUM(F261:K261)</f>
        <v>15400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23482.3</v>
      </c>
      <c r="L263" s="19">
        <f>SUM(F263:K263)</f>
        <v>23482.3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>
        <v>97</v>
      </c>
      <c r="L264" s="19">
        <f t="shared" ref="L264:L270" si="9">SUM(F264:K264)</f>
        <v>97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60000</v>
      </c>
      <c r="L266" s="19">
        <f t="shared" si="9"/>
        <v>60000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378979.3</v>
      </c>
      <c r="L270" s="41">
        <f t="shared" si="9"/>
        <v>378979.3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5071359.7700000005</v>
      </c>
      <c r="G271" s="42">
        <f t="shared" si="11"/>
        <v>2056903.4700000002</v>
      </c>
      <c r="H271" s="42">
        <f t="shared" si="11"/>
        <v>4772864.0299999993</v>
      </c>
      <c r="I271" s="42">
        <f t="shared" si="11"/>
        <v>329117.62</v>
      </c>
      <c r="J271" s="42">
        <f t="shared" si="11"/>
        <v>108434</v>
      </c>
      <c r="K271" s="42">
        <f t="shared" si="11"/>
        <v>404117.61</v>
      </c>
      <c r="L271" s="42">
        <f t="shared" si="11"/>
        <v>12742796.5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>
        <v>1602</v>
      </c>
      <c r="H276" s="18">
        <v>6065.82</v>
      </c>
      <c r="I276" s="18">
        <v>8893.39</v>
      </c>
      <c r="J276" s="18"/>
      <c r="K276" s="18">
        <v>22867.5</v>
      </c>
      <c r="L276" s="19">
        <f>SUM(F276:K276)</f>
        <v>39428.71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4557.49</v>
      </c>
      <c r="G277" s="18">
        <v>22449.74</v>
      </c>
      <c r="H277" s="18"/>
      <c r="I277" s="18"/>
      <c r="J277" s="18"/>
      <c r="K277" s="18"/>
      <c r="L277" s="19">
        <f>SUM(F277:K277)</f>
        <v>27007.230000000003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>
        <v>4775</v>
      </c>
      <c r="H279" s="18">
        <v>537.01</v>
      </c>
      <c r="I279" s="18">
        <v>756.8</v>
      </c>
      <c r="J279" s="18"/>
      <c r="K279" s="18"/>
      <c r="L279" s="19">
        <f>SUM(F279:K279)</f>
        <v>6068.81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>
        <v>5460.8</v>
      </c>
      <c r="H282" s="18">
        <v>9434.6</v>
      </c>
      <c r="I282" s="18">
        <v>2684.86</v>
      </c>
      <c r="J282" s="18">
        <v>51796.43</v>
      </c>
      <c r="K282" s="18"/>
      <c r="L282" s="19">
        <f t="shared" si="12"/>
        <v>69376.69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>
        <v>7832.28</v>
      </c>
      <c r="L283" s="19">
        <f t="shared" si="12"/>
        <v>7832.28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>
        <v>12570.89</v>
      </c>
      <c r="I284" s="18">
        <v>221</v>
      </c>
      <c r="J284" s="18">
        <v>6818</v>
      </c>
      <c r="K284" s="18">
        <v>243.47</v>
      </c>
      <c r="L284" s="19">
        <f t="shared" si="12"/>
        <v>19853.36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210</v>
      </c>
      <c r="I287" s="18"/>
      <c r="J287" s="18"/>
      <c r="K287" s="18"/>
      <c r="L287" s="19">
        <f t="shared" si="12"/>
        <v>210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>
        <v>1551</v>
      </c>
      <c r="I288" s="18"/>
      <c r="J288" s="18"/>
      <c r="K288" s="18"/>
      <c r="L288" s="19">
        <f>SUM(F288:K288)</f>
        <v>1551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4557.49</v>
      </c>
      <c r="G290" s="42">
        <f t="shared" si="13"/>
        <v>34287.54</v>
      </c>
      <c r="H290" s="42">
        <f t="shared" si="13"/>
        <v>30369.32</v>
      </c>
      <c r="I290" s="42">
        <f t="shared" si="13"/>
        <v>12556.05</v>
      </c>
      <c r="J290" s="42">
        <f t="shared" si="13"/>
        <v>58614.43</v>
      </c>
      <c r="K290" s="42">
        <f t="shared" si="13"/>
        <v>30943.25</v>
      </c>
      <c r="L290" s="41">
        <f t="shared" si="13"/>
        <v>171328.08000000002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4557.49</v>
      </c>
      <c r="G338" s="41">
        <f t="shared" si="20"/>
        <v>34287.54</v>
      </c>
      <c r="H338" s="41">
        <f t="shared" si="20"/>
        <v>30369.32</v>
      </c>
      <c r="I338" s="41">
        <f t="shared" si="20"/>
        <v>12556.05</v>
      </c>
      <c r="J338" s="41">
        <f t="shared" si="20"/>
        <v>58614.43</v>
      </c>
      <c r="K338" s="41">
        <f t="shared" si="20"/>
        <v>30943.25</v>
      </c>
      <c r="L338" s="41">
        <f t="shared" si="20"/>
        <v>171328.08000000002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4557.49</v>
      </c>
      <c r="G352" s="41">
        <f>G338</f>
        <v>34287.54</v>
      </c>
      <c r="H352" s="41">
        <f>H338</f>
        <v>30369.32</v>
      </c>
      <c r="I352" s="41">
        <f>I338</f>
        <v>12556.05</v>
      </c>
      <c r="J352" s="41">
        <f>J338</f>
        <v>58614.43</v>
      </c>
      <c r="K352" s="47">
        <f>K338+K351</f>
        <v>30943.25</v>
      </c>
      <c r="L352" s="41">
        <f>L338+L351</f>
        <v>171328.08000000002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77243.7</v>
      </c>
      <c r="G358" s="18">
        <v>30893.75</v>
      </c>
      <c r="H358" s="18">
        <v>3512.1</v>
      </c>
      <c r="I358" s="18">
        <v>59601.2</v>
      </c>
      <c r="J358" s="18"/>
      <c r="K358" s="18"/>
      <c r="L358" s="13">
        <f>SUM(F358:K358)</f>
        <v>171250.75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77243.7</v>
      </c>
      <c r="G362" s="47">
        <f t="shared" si="22"/>
        <v>30893.75</v>
      </c>
      <c r="H362" s="47">
        <f t="shared" si="22"/>
        <v>3512.1</v>
      </c>
      <c r="I362" s="47">
        <f t="shared" si="22"/>
        <v>59601.2</v>
      </c>
      <c r="J362" s="47">
        <f t="shared" si="22"/>
        <v>0</v>
      </c>
      <c r="K362" s="47">
        <f t="shared" si="22"/>
        <v>0</v>
      </c>
      <c r="L362" s="47">
        <f t="shared" si="22"/>
        <v>171250.75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33548.410000000003</v>
      </c>
      <c r="G367" s="18">
        <v>17177.650000000001</v>
      </c>
      <c r="H367" s="18"/>
      <c r="I367" s="56">
        <f>SUM(F367:H367)</f>
        <v>50726.060000000005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4035.97</v>
      </c>
      <c r="G368" s="63">
        <v>4839.17</v>
      </c>
      <c r="H368" s="63"/>
      <c r="I368" s="56">
        <f>SUM(F368:H368)</f>
        <v>8875.14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37584.380000000005</v>
      </c>
      <c r="G369" s="47">
        <f>SUM(G367:G368)</f>
        <v>22016.82</v>
      </c>
      <c r="H369" s="47">
        <f>SUM(H367:H368)</f>
        <v>0</v>
      </c>
      <c r="I369" s="47">
        <f>SUM(I367:I368)</f>
        <v>59601.200000000004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>
        <v>60000</v>
      </c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60000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60000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60000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v>994.16</v>
      </c>
      <c r="I396" s="18"/>
      <c r="J396" s="24" t="s">
        <v>288</v>
      </c>
      <c r="K396" s="24" t="s">
        <v>288</v>
      </c>
      <c r="L396" s="56">
        <f t="shared" si="26"/>
        <v>994.16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820.78</v>
      </c>
      <c r="I397" s="18"/>
      <c r="J397" s="24" t="s">
        <v>288</v>
      </c>
      <c r="K397" s="24" t="s">
        <v>288</v>
      </c>
      <c r="L397" s="56">
        <f t="shared" si="26"/>
        <v>820.78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>
        <v>7.81</v>
      </c>
      <c r="I398" s="18"/>
      <c r="J398" s="24" t="s">
        <v>288</v>
      </c>
      <c r="K398" s="24" t="s">
        <v>288</v>
      </c>
      <c r="L398" s="56">
        <f t="shared" si="26"/>
        <v>7.81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1822.75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1822.75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60000</v>
      </c>
      <c r="H408" s="47">
        <f>H393+H401+H407</f>
        <v>1822.75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61822.75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>
        <v>100000</v>
      </c>
      <c r="I426" s="18"/>
      <c r="J426" s="18"/>
      <c r="K426" s="18"/>
      <c r="L426" s="56">
        <f t="shared" si="29"/>
        <v>100000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100000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100000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100000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100000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>
        <v>60000</v>
      </c>
      <c r="H439" s="18"/>
      <c r="I439" s="56">
        <f t="shared" ref="I439:I445" si="33">SUM(F439:H439)</f>
        <v>60000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185715.04</v>
      </c>
      <c r="H440" s="18"/>
      <c r="I440" s="56">
        <f t="shared" si="33"/>
        <v>185715.04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245715.04</v>
      </c>
      <c r="H446" s="13">
        <f>SUM(H439:H445)</f>
        <v>0</v>
      </c>
      <c r="I446" s="13">
        <f>SUM(I439:I445)</f>
        <v>245715.04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>
        <f>219092.49+26622.55</f>
        <v>245715.03999999998</v>
      </c>
      <c r="H456" s="18"/>
      <c r="I456" s="56">
        <f t="shared" si="34"/>
        <v>245715.03999999998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245715.03999999998</v>
      </c>
      <c r="H460" s="83">
        <f>SUM(H454:H459)</f>
        <v>0</v>
      </c>
      <c r="I460" s="83">
        <f>SUM(I454:I459)</f>
        <v>245715.03999999998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245715.03999999998</v>
      </c>
      <c r="H461" s="42">
        <f>H452+H460</f>
        <v>0</v>
      </c>
      <c r="I461" s="42">
        <f>I452+I460</f>
        <v>245715.03999999998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801716.1</v>
      </c>
      <c r="G465" s="18">
        <v>1276.58</v>
      </c>
      <c r="H465" s="18">
        <v>98099.78</v>
      </c>
      <c r="I465" s="18"/>
      <c r="J465" s="18">
        <v>283892.28999999998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12597076.99</v>
      </c>
      <c r="G468" s="18">
        <v>171250.75</v>
      </c>
      <c r="H468" s="18">
        <v>146404.10999999999</v>
      </c>
      <c r="I468" s="18"/>
      <c r="J468" s="18">
        <f>35200.2+26622.55</f>
        <v>61822.75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12597076.99</v>
      </c>
      <c r="G470" s="53">
        <f>SUM(G468:G469)</f>
        <v>171250.75</v>
      </c>
      <c r="H470" s="53">
        <f>SUM(H468:H469)</f>
        <v>146404.10999999999</v>
      </c>
      <c r="I470" s="53">
        <f>SUM(I468:I469)</f>
        <v>0</v>
      </c>
      <c r="J470" s="53">
        <f>SUM(J468:J469)</f>
        <v>61822.75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12716173.95+26622.55</f>
        <v>12742796.5</v>
      </c>
      <c r="G472" s="18">
        <v>171250.75</v>
      </c>
      <c r="H472" s="18">
        <v>171328.08</v>
      </c>
      <c r="I472" s="18"/>
      <c r="J472" s="18">
        <v>100000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>
        <v>701.77</v>
      </c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12742796.5</v>
      </c>
      <c r="G474" s="53">
        <f>SUM(G472:G473)</f>
        <v>171952.52</v>
      </c>
      <c r="H474" s="53">
        <f>SUM(H472:H473)</f>
        <v>171328.08</v>
      </c>
      <c r="I474" s="53">
        <f>SUM(I472:I473)</f>
        <v>0</v>
      </c>
      <c r="J474" s="53">
        <f>SUM(J472:J473)</f>
        <v>100000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655996.58999999985</v>
      </c>
      <c r="G476" s="53">
        <f>(G465+G470)- G474</f>
        <v>574.80999999999767</v>
      </c>
      <c r="H476" s="53">
        <f>(H465+H470)- H474</f>
        <v>73175.81</v>
      </c>
      <c r="I476" s="53">
        <f>(I465+I470)- I474</f>
        <v>0</v>
      </c>
      <c r="J476" s="53">
        <f>(J465+J470)- J474</f>
        <v>245715.03999999998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913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8844720.8000000007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5.45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280000</v>
      </c>
      <c r="G495" s="18"/>
      <c r="H495" s="18"/>
      <c r="I495" s="18"/>
      <c r="J495" s="18"/>
      <c r="K495" s="53">
        <f>SUM(F495:J495)</f>
        <v>280000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280000</v>
      </c>
      <c r="G497" s="18"/>
      <c r="H497" s="18"/>
      <c r="I497" s="18"/>
      <c r="J497" s="18"/>
      <c r="K497" s="53">
        <f t="shared" si="35"/>
        <v>280000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691261.39+29801.14</f>
        <v>721062.53</v>
      </c>
      <c r="G521" s="18">
        <f>260143.86+11883.9</f>
        <v>272027.76</v>
      </c>
      <c r="H521" s="18">
        <v>272027.76</v>
      </c>
      <c r="I521" s="18">
        <v>4300.1899999999996</v>
      </c>
      <c r="J521" s="18">
        <v>4187.67</v>
      </c>
      <c r="K521" s="18"/>
      <c r="L521" s="88">
        <f>SUM(F521:K521)</f>
        <v>1273605.9099999999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227774.22</v>
      </c>
      <c r="I523" s="18"/>
      <c r="J523" s="18"/>
      <c r="K523" s="18"/>
      <c r="L523" s="88">
        <f>SUM(F523:K523)</f>
        <v>227774.22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721062.53</v>
      </c>
      <c r="G524" s="108">
        <f t="shared" ref="G524:L524" si="36">SUM(G521:G523)</f>
        <v>272027.76</v>
      </c>
      <c r="H524" s="108">
        <f t="shared" si="36"/>
        <v>499801.98</v>
      </c>
      <c r="I524" s="108">
        <f t="shared" si="36"/>
        <v>4300.1899999999996</v>
      </c>
      <c r="J524" s="108">
        <f t="shared" si="36"/>
        <v>4187.67</v>
      </c>
      <c r="K524" s="108">
        <f t="shared" si="36"/>
        <v>0</v>
      </c>
      <c r="L524" s="89">
        <f t="shared" si="36"/>
        <v>1501380.13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182736.16</v>
      </c>
      <c r="G526" s="18">
        <v>73085.64</v>
      </c>
      <c r="H526" s="18">
        <v>95825.12</v>
      </c>
      <c r="I526" s="18">
        <v>2199.2399999999998</v>
      </c>
      <c r="J526" s="18"/>
      <c r="K526" s="18"/>
      <c r="L526" s="88">
        <f>SUM(F526:K526)</f>
        <v>353846.16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182736.16</v>
      </c>
      <c r="G529" s="89">
        <f t="shared" ref="G529:L529" si="37">SUM(G526:G528)</f>
        <v>73085.64</v>
      </c>
      <c r="H529" s="89">
        <f t="shared" si="37"/>
        <v>95825.12</v>
      </c>
      <c r="I529" s="89">
        <f t="shared" si="37"/>
        <v>2199.2399999999998</v>
      </c>
      <c r="J529" s="89">
        <f t="shared" si="37"/>
        <v>0</v>
      </c>
      <c r="K529" s="89">
        <f t="shared" si="37"/>
        <v>0</v>
      </c>
      <c r="L529" s="89">
        <f t="shared" si="37"/>
        <v>353846.16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62926.69</v>
      </c>
      <c r="G531" s="18">
        <v>23228.23</v>
      </c>
      <c r="H531" s="18">
        <v>2025.79</v>
      </c>
      <c r="I531" s="18">
        <v>919.66</v>
      </c>
      <c r="J531" s="18">
        <v>396.78</v>
      </c>
      <c r="K531" s="18">
        <v>458.34</v>
      </c>
      <c r="L531" s="88">
        <f>SUM(F531:K531)</f>
        <v>89955.489999999991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0</v>
      </c>
      <c r="G533" s="18">
        <v>0</v>
      </c>
      <c r="H533" s="18">
        <v>868.19</v>
      </c>
      <c r="I533" s="18">
        <v>394.14</v>
      </c>
      <c r="J533" s="18">
        <v>170.05</v>
      </c>
      <c r="K533" s="18">
        <v>196.43</v>
      </c>
      <c r="L533" s="88">
        <f>SUM(F533:K533)</f>
        <v>1628.81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62926.69</v>
      </c>
      <c r="G534" s="89">
        <f t="shared" ref="G534:L534" si="38">SUM(G531:G533)</f>
        <v>23228.23</v>
      </c>
      <c r="H534" s="89">
        <f t="shared" si="38"/>
        <v>2893.98</v>
      </c>
      <c r="I534" s="89">
        <f t="shared" si="38"/>
        <v>1313.8</v>
      </c>
      <c r="J534" s="89">
        <f t="shared" si="38"/>
        <v>566.82999999999993</v>
      </c>
      <c r="K534" s="89">
        <f t="shared" si="38"/>
        <v>654.77</v>
      </c>
      <c r="L534" s="89">
        <f t="shared" si="38"/>
        <v>91584.299999999988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263</v>
      </c>
      <c r="I536" s="18"/>
      <c r="J536" s="18"/>
      <c r="K536" s="18"/>
      <c r="L536" s="88">
        <f>SUM(F536:K536)</f>
        <v>263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104</v>
      </c>
      <c r="I538" s="18"/>
      <c r="J538" s="18"/>
      <c r="K538" s="18"/>
      <c r="L538" s="88">
        <f>SUM(F538:K538)</f>
        <v>104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367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367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10509.9</v>
      </c>
      <c r="I541" s="18"/>
      <c r="J541" s="18"/>
      <c r="K541" s="18"/>
      <c r="L541" s="88">
        <f>SUM(F541:K541)</f>
        <v>10509.9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15109.35</v>
      </c>
      <c r="I543" s="18"/>
      <c r="J543" s="18"/>
      <c r="K543" s="18"/>
      <c r="L543" s="88">
        <f>SUM(F543:K543)</f>
        <v>15109.35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25619.25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25619.25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966725.38000000012</v>
      </c>
      <c r="G545" s="89">
        <f t="shared" ref="G545:L545" si="41">G524+G529+G534+G539+G544</f>
        <v>368341.63</v>
      </c>
      <c r="H545" s="89">
        <f t="shared" si="41"/>
        <v>624507.32999999996</v>
      </c>
      <c r="I545" s="89">
        <f t="shared" si="41"/>
        <v>7813.23</v>
      </c>
      <c r="J545" s="89">
        <f t="shared" si="41"/>
        <v>4754.5</v>
      </c>
      <c r="K545" s="89">
        <f t="shared" si="41"/>
        <v>654.77</v>
      </c>
      <c r="L545" s="89">
        <f t="shared" si="41"/>
        <v>1972796.8399999999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1273605.9099999999</v>
      </c>
      <c r="G549" s="87">
        <f>L526</f>
        <v>353846.16</v>
      </c>
      <c r="H549" s="87">
        <f>L531</f>
        <v>89955.489999999991</v>
      </c>
      <c r="I549" s="87">
        <f>L536</f>
        <v>263</v>
      </c>
      <c r="J549" s="87">
        <f>L541</f>
        <v>10509.9</v>
      </c>
      <c r="K549" s="87">
        <f>SUM(F549:J549)</f>
        <v>1728180.4599999997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227774.22</v>
      </c>
      <c r="G551" s="87">
        <f>L528</f>
        <v>0</v>
      </c>
      <c r="H551" s="87">
        <f>L533</f>
        <v>1628.81</v>
      </c>
      <c r="I551" s="87">
        <f>L538</f>
        <v>104</v>
      </c>
      <c r="J551" s="87">
        <f>L543</f>
        <v>15109.35</v>
      </c>
      <c r="K551" s="87">
        <f>SUM(F551:J551)</f>
        <v>244616.38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1501380.13</v>
      </c>
      <c r="G552" s="89">
        <f t="shared" si="42"/>
        <v>353846.16</v>
      </c>
      <c r="H552" s="89">
        <f t="shared" si="42"/>
        <v>91584.299999999988</v>
      </c>
      <c r="I552" s="89">
        <f t="shared" si="42"/>
        <v>367</v>
      </c>
      <c r="J552" s="89">
        <f t="shared" si="42"/>
        <v>25619.25</v>
      </c>
      <c r="K552" s="89">
        <f t="shared" si="42"/>
        <v>1972796.8399999999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2192.25</v>
      </c>
      <c r="G562" s="18">
        <v>137.02000000000001</v>
      </c>
      <c r="H562" s="18">
        <v>259.91000000000003</v>
      </c>
      <c r="I562" s="18"/>
      <c r="J562" s="18"/>
      <c r="K562" s="18"/>
      <c r="L562" s="88">
        <f>SUM(F562:K562)</f>
        <v>2589.1799999999998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2192.25</v>
      </c>
      <c r="G565" s="89">
        <f t="shared" si="44"/>
        <v>137.02000000000001</v>
      </c>
      <c r="H565" s="89">
        <f t="shared" si="44"/>
        <v>259.91000000000003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2589.1799999999998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2192.25</v>
      </c>
      <c r="G571" s="89">
        <f t="shared" ref="G571:L571" si="46">G560+G565+G570</f>
        <v>137.02000000000001</v>
      </c>
      <c r="H571" s="89">
        <f t="shared" si="46"/>
        <v>259.91000000000003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2589.1799999999998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2895053.84</v>
      </c>
      <c r="I575" s="87">
        <f>SUM(F575:H575)</f>
        <v>2895053.84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v>64426.22</v>
      </c>
      <c r="I579" s="87">
        <f t="shared" si="47"/>
        <v>64426.22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22000</v>
      </c>
      <c r="G582" s="18"/>
      <c r="H582" s="18">
        <v>154146.5</v>
      </c>
      <c r="I582" s="87">
        <f t="shared" si="47"/>
        <v>176146.5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232710.45</v>
      </c>
      <c r="I591" s="18"/>
      <c r="J591" s="18">
        <v>41066.550000000003</v>
      </c>
      <c r="K591" s="104">
        <f t="shared" ref="K591:K597" si="48">SUM(H591:J591)</f>
        <v>273777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10509.9</v>
      </c>
      <c r="I592" s="18"/>
      <c r="J592" s="18">
        <v>15109.35</v>
      </c>
      <c r="K592" s="104">
        <f t="shared" si="48"/>
        <v>25619.25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6008.11</v>
      </c>
      <c r="I594" s="18"/>
      <c r="J594" s="18"/>
      <c r="K594" s="104">
        <f t="shared" si="48"/>
        <v>6008.11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12487.1</v>
      </c>
      <c r="I595" s="18"/>
      <c r="J595" s="18"/>
      <c r="K595" s="104">
        <f t="shared" si="48"/>
        <v>12487.1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261715.56</v>
      </c>
      <c r="I598" s="108">
        <f>SUM(I591:I597)</f>
        <v>0</v>
      </c>
      <c r="J598" s="108">
        <f>SUM(J591:J597)</f>
        <v>56175.9</v>
      </c>
      <c r="K598" s="108">
        <f>SUM(K591:K597)</f>
        <v>317891.45999999996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167048.43</v>
      </c>
      <c r="I604" s="18"/>
      <c r="J604" s="18"/>
      <c r="K604" s="104">
        <f>SUM(H604:J604)</f>
        <v>167048.43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167048.43</v>
      </c>
      <c r="I605" s="108">
        <f>SUM(I602:I604)</f>
        <v>0</v>
      </c>
      <c r="J605" s="108">
        <f>SUM(J602:J604)</f>
        <v>0</v>
      </c>
      <c r="K605" s="108">
        <f>SUM(K602:K604)</f>
        <v>167048.43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16580</v>
      </c>
      <c r="G611" s="18"/>
      <c r="H611" s="18">
        <v>18976.740000000002</v>
      </c>
      <c r="I611" s="18"/>
      <c r="J611" s="18"/>
      <c r="K611" s="18"/>
      <c r="L611" s="88">
        <f>SUM(F611:K611)</f>
        <v>35556.740000000005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>
        <v>14579.01</v>
      </c>
      <c r="I613" s="18"/>
      <c r="J613" s="18"/>
      <c r="K613" s="18"/>
      <c r="L613" s="88">
        <f>SUM(F613:K613)</f>
        <v>14579.01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16580</v>
      </c>
      <c r="G614" s="108">
        <f t="shared" si="49"/>
        <v>0</v>
      </c>
      <c r="H614" s="108">
        <f t="shared" si="49"/>
        <v>33555.75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50135.750000000007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730810.71999999986</v>
      </c>
      <c r="H617" s="109">
        <f>SUM(F52)</f>
        <v>730810.72000000009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2063.21</v>
      </c>
      <c r="H618" s="109">
        <f>SUM(G52)</f>
        <v>2063.21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97261.489999999991</v>
      </c>
      <c r="H619" s="109">
        <f>SUM(H52)</f>
        <v>97261.489999999991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245715.04</v>
      </c>
      <c r="H621" s="109">
        <f>SUM(J52)</f>
        <v>245715.03999999998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655996.59000000008</v>
      </c>
      <c r="H622" s="109">
        <f>F476</f>
        <v>655996.58999999985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574.80999999999995</v>
      </c>
      <c r="H623" s="109">
        <f>G476</f>
        <v>574.80999999999767</v>
      </c>
      <c r="I623" s="121" t="s">
        <v>102</v>
      </c>
      <c r="J623" s="109">
        <f t="shared" si="50"/>
        <v>2.2737367544323206E-12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73175.81</v>
      </c>
      <c r="H624" s="109">
        <f>H476</f>
        <v>73175.81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245715.03999999998</v>
      </c>
      <c r="H626" s="109">
        <f>J476</f>
        <v>245715.03999999998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12597076.99</v>
      </c>
      <c r="H627" s="104">
        <f>SUM(F468)</f>
        <v>12597076.99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171250.74999999997</v>
      </c>
      <c r="H628" s="104">
        <f>SUM(G468)</f>
        <v>171250.75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146404.10999999999</v>
      </c>
      <c r="H629" s="104">
        <f>SUM(H468)</f>
        <v>146404.10999999999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61822.75</v>
      </c>
      <c r="H631" s="104">
        <f>SUM(J468)</f>
        <v>61822.75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12742796.5</v>
      </c>
      <c r="H632" s="104">
        <f>SUM(F472)</f>
        <v>12742796.5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171328.08000000002</v>
      </c>
      <c r="H633" s="104">
        <f>SUM(H472)</f>
        <v>171328.08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59601.2</v>
      </c>
      <c r="H634" s="104">
        <f>I369</f>
        <v>59601.200000000004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171250.75</v>
      </c>
      <c r="H635" s="104">
        <f>SUM(G472)</f>
        <v>171250.75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61822.75</v>
      </c>
      <c r="H637" s="164">
        <f>SUM(J468)</f>
        <v>61822.75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100000</v>
      </c>
      <c r="H638" s="164">
        <f>SUM(J472)</f>
        <v>100000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245715.04</v>
      </c>
      <c r="H640" s="104">
        <f>SUM(G461)</f>
        <v>245715.03999999998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245715.04</v>
      </c>
      <c r="H642" s="104">
        <f>SUM(I461)</f>
        <v>245715.03999999998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1822.75</v>
      </c>
      <c r="H644" s="104">
        <f>H408</f>
        <v>1822.75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60000</v>
      </c>
      <c r="H645" s="104">
        <f>G408</f>
        <v>60000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61822.75</v>
      </c>
      <c r="H646" s="104">
        <f>L408</f>
        <v>61822.75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317891.45999999996</v>
      </c>
      <c r="H647" s="104">
        <f>L208+L226+L244</f>
        <v>317891.46000000002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167048.43</v>
      </c>
      <c r="H648" s="104">
        <f>(J257+J338)-(J255+J336)</f>
        <v>167048.43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261715.56</v>
      </c>
      <c r="H649" s="104">
        <f>H598</f>
        <v>261715.56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56175.9</v>
      </c>
      <c r="H651" s="104">
        <f>J598</f>
        <v>56175.9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23482.3</v>
      </c>
      <c r="H652" s="104">
        <f>K263+K345</f>
        <v>23482.3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97</v>
      </c>
      <c r="H653" s="104">
        <f>K264</f>
        <v>97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60000</v>
      </c>
      <c r="H655" s="104">
        <f>K266+K347</f>
        <v>60000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9242133.879999999</v>
      </c>
      <c r="G660" s="19">
        <f>(L229+L309+L359)</f>
        <v>0</v>
      </c>
      <c r="H660" s="19">
        <f>(L247+L328+L360)</f>
        <v>3254671.15</v>
      </c>
      <c r="I660" s="19">
        <f>SUM(F660:H660)</f>
        <v>12496805.029999999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123597.87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123597.87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261925.56</v>
      </c>
      <c r="G662" s="19">
        <f>(L226+L306)-(J226+J306)</f>
        <v>0</v>
      </c>
      <c r="H662" s="19">
        <f>(L244+L325)-(J244+J325)</f>
        <v>56175.9</v>
      </c>
      <c r="I662" s="19">
        <f>SUM(F662:H662)</f>
        <v>318101.46000000002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224605.16999999998</v>
      </c>
      <c r="G663" s="199">
        <f>SUM(G575:G587)+SUM(I602:I604)+L612</f>
        <v>0</v>
      </c>
      <c r="H663" s="199">
        <f>SUM(H575:H587)+SUM(J602:J604)+L613</f>
        <v>3128205.57</v>
      </c>
      <c r="I663" s="19">
        <f>SUM(F663:H663)</f>
        <v>3352810.7399999998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8632005.2799999993</v>
      </c>
      <c r="G664" s="19">
        <f>G660-SUM(G661:G663)</f>
        <v>0</v>
      </c>
      <c r="H664" s="19">
        <f>H660-SUM(H661:H663)</f>
        <v>70289.680000000168</v>
      </c>
      <c r="I664" s="19">
        <f>I660-SUM(I661:I663)</f>
        <v>8702294.959999999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430.47</v>
      </c>
      <c r="G665" s="248"/>
      <c r="H665" s="248"/>
      <c r="I665" s="19">
        <f>SUM(F665:H665)</f>
        <v>430.47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20052.509999999998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20215.8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-70289.679999999993</v>
      </c>
      <c r="I669" s="19">
        <f>SUM(F669:H669)</f>
        <v>-70289.679999999993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20052.509999999998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20052.509999999998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G22" sqref="G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RYE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2963365.71</v>
      </c>
      <c r="C9" s="229">
        <f>'DOE25'!G197+'DOE25'!G215+'DOE25'!G233+'DOE25'!G276+'DOE25'!G295+'DOE25'!G314</f>
        <v>1186805.0900000001</v>
      </c>
    </row>
    <row r="10" spans="1:3" x14ac:dyDescent="0.2">
      <c r="A10" t="s">
        <v>778</v>
      </c>
      <c r="B10" s="240">
        <v>2818665.48</v>
      </c>
      <c r="C10" s="240">
        <v>1127365.18</v>
      </c>
    </row>
    <row r="11" spans="1:3" x14ac:dyDescent="0.2">
      <c r="A11" t="s">
        <v>779</v>
      </c>
      <c r="B11" s="240">
        <v>89818.16</v>
      </c>
      <c r="C11" s="240">
        <v>37513.65</v>
      </c>
    </row>
    <row r="12" spans="1:3" x14ac:dyDescent="0.2">
      <c r="A12" t="s">
        <v>780</v>
      </c>
      <c r="B12" s="240">
        <v>54882.07</v>
      </c>
      <c r="C12" s="240">
        <v>21926.26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2963365.71</v>
      </c>
      <c r="C13" s="231">
        <f>SUM(C10:C12)</f>
        <v>1186805.0899999999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681431.13</v>
      </c>
      <c r="C18" s="229">
        <f>'DOE25'!G198+'DOE25'!G216+'DOE25'!G234+'DOE25'!G277+'DOE25'!G296+'DOE25'!G315</f>
        <v>293166.49</v>
      </c>
    </row>
    <row r="19" spans="1:3" x14ac:dyDescent="0.2">
      <c r="A19" t="s">
        <v>778</v>
      </c>
      <c r="B19" s="240">
        <v>444997.91</v>
      </c>
      <c r="C19" s="240">
        <v>177969.19</v>
      </c>
    </row>
    <row r="20" spans="1:3" x14ac:dyDescent="0.2">
      <c r="A20" t="s">
        <v>779</v>
      </c>
      <c r="B20" s="240">
        <v>234240.97</v>
      </c>
      <c r="C20" s="240">
        <v>114303.93</v>
      </c>
    </row>
    <row r="21" spans="1:3" x14ac:dyDescent="0.2">
      <c r="A21" t="s">
        <v>780</v>
      </c>
      <c r="B21" s="240">
        <v>2192.25</v>
      </c>
      <c r="C21" s="240">
        <v>893.37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681431.13</v>
      </c>
      <c r="C22" s="231">
        <f>SUM(C19:C21)</f>
        <v>293166.49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79250</v>
      </c>
      <c r="C36" s="235">
        <f>'DOE25'!G200+'DOE25'!G218+'DOE25'!G236+'DOE25'!G279+'DOE25'!G298+'DOE25'!G317</f>
        <v>11041.470000000001</v>
      </c>
    </row>
    <row r="37" spans="1:3" x14ac:dyDescent="0.2">
      <c r="A37" t="s">
        <v>778</v>
      </c>
      <c r="B37" s="240">
        <v>16120</v>
      </c>
      <c r="C37" s="240">
        <v>1274.5999999999999</v>
      </c>
    </row>
    <row r="38" spans="1:3" x14ac:dyDescent="0.2">
      <c r="A38" t="s">
        <v>779</v>
      </c>
      <c r="B38" s="240">
        <v>460</v>
      </c>
      <c r="C38" s="240">
        <v>36.35</v>
      </c>
    </row>
    <row r="39" spans="1:3" x14ac:dyDescent="0.2">
      <c r="A39" t="s">
        <v>780</v>
      </c>
      <c r="B39" s="240">
        <v>62670</v>
      </c>
      <c r="C39" s="240">
        <v>9730.52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79250</v>
      </c>
      <c r="C40" s="231">
        <f>SUM(C37:C39)</f>
        <v>11041.470000000001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RYE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8580102.1399999987</v>
      </c>
      <c r="D5" s="20">
        <f>SUM('DOE25'!L197:L200)+SUM('DOE25'!L215:L218)+SUM('DOE25'!L233:L236)-F5-G5</f>
        <v>8557328.209999999</v>
      </c>
      <c r="E5" s="243"/>
      <c r="F5" s="255">
        <f>SUM('DOE25'!J197:J200)+SUM('DOE25'!J215:J218)+SUM('DOE25'!J233:J236)</f>
        <v>22024.030000000002</v>
      </c>
      <c r="G5" s="53">
        <f>SUM('DOE25'!K197:K200)+SUM('DOE25'!K215:K218)+SUM('DOE25'!K233:K236)</f>
        <v>749.9</v>
      </c>
      <c r="H5" s="259"/>
    </row>
    <row r="6" spans="1:9" x14ac:dyDescent="0.2">
      <c r="A6" s="32">
        <v>2100</v>
      </c>
      <c r="B6" t="s">
        <v>800</v>
      </c>
      <c r="C6" s="245">
        <f t="shared" si="0"/>
        <v>702271.92</v>
      </c>
      <c r="D6" s="20">
        <f>'DOE25'!L202+'DOE25'!L220+'DOE25'!L238-F6-G6</f>
        <v>701095.42</v>
      </c>
      <c r="E6" s="243"/>
      <c r="F6" s="255">
        <f>'DOE25'!J202+'DOE25'!J220+'DOE25'!J238</f>
        <v>1176.5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581719.91</v>
      </c>
      <c r="D7" s="20">
        <f>'DOE25'!L203+'DOE25'!L221+'DOE25'!L239-F7-G7</f>
        <v>502284.34</v>
      </c>
      <c r="E7" s="243"/>
      <c r="F7" s="255">
        <f>'DOE25'!J203+'DOE25'!J221+'DOE25'!J239</f>
        <v>75816.570000000007</v>
      </c>
      <c r="G7" s="53">
        <f>'DOE25'!K203+'DOE25'!K221+'DOE25'!K239</f>
        <v>3619</v>
      </c>
      <c r="H7" s="259"/>
    </row>
    <row r="8" spans="1:9" x14ac:dyDescent="0.2">
      <c r="A8" s="32">
        <v>2300</v>
      </c>
      <c r="B8" t="s">
        <v>801</v>
      </c>
      <c r="C8" s="245">
        <f t="shared" si="0"/>
        <v>374699.00000000006</v>
      </c>
      <c r="D8" s="243"/>
      <c r="E8" s="20">
        <f>'DOE25'!L204+'DOE25'!L222+'DOE25'!L240-F8-G8-D9-D11</f>
        <v>367325.17000000004</v>
      </c>
      <c r="F8" s="255">
        <f>'DOE25'!J204+'DOE25'!J222+'DOE25'!J240</f>
        <v>0</v>
      </c>
      <c r="G8" s="53">
        <f>'DOE25'!K204+'DOE25'!K222+'DOE25'!K240</f>
        <v>7373.83</v>
      </c>
      <c r="H8" s="259"/>
    </row>
    <row r="9" spans="1:9" x14ac:dyDescent="0.2">
      <c r="A9" s="32">
        <v>2310</v>
      </c>
      <c r="B9" t="s">
        <v>817</v>
      </c>
      <c r="C9" s="245">
        <f t="shared" si="0"/>
        <v>39119.86</v>
      </c>
      <c r="D9" s="244">
        <v>39119.86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9500</v>
      </c>
      <c r="D10" s="243"/>
      <c r="E10" s="244">
        <v>9500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197063</v>
      </c>
      <c r="D11" s="244">
        <v>197063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476052.29</v>
      </c>
      <c r="D12" s="20">
        <f>'DOE25'!L205+'DOE25'!L223+'DOE25'!L241-F12-G12</f>
        <v>475197.31</v>
      </c>
      <c r="E12" s="243"/>
      <c r="F12" s="255">
        <f>'DOE25'!J205+'DOE25'!J223+'DOE25'!J241</f>
        <v>0</v>
      </c>
      <c r="G12" s="53">
        <f>'DOE25'!K205+'DOE25'!K223+'DOE25'!K241</f>
        <v>854.98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12540.6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12540.6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852454.16</v>
      </c>
      <c r="D14" s="20">
        <f>'DOE25'!L207+'DOE25'!L225+'DOE25'!L243-F14-G14</f>
        <v>843037.26</v>
      </c>
      <c r="E14" s="243"/>
      <c r="F14" s="255">
        <f>'DOE25'!J207+'DOE25'!J225+'DOE25'!J243</f>
        <v>9416.9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317891.46000000002</v>
      </c>
      <c r="D15" s="20">
        <f>'DOE25'!L208+'DOE25'!L226+'DOE25'!L244-F15-G15</f>
        <v>317891.46000000002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20311.86</v>
      </c>
      <c r="D16" s="243"/>
      <c r="E16" s="20">
        <f>'DOE25'!L209+'DOE25'!L227+'DOE25'!L245-F16-G16</f>
        <v>20311.86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209591</v>
      </c>
      <c r="D22" s="243"/>
      <c r="E22" s="243"/>
      <c r="F22" s="255">
        <f>'DOE25'!L255+'DOE25'!L336</f>
        <v>209591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295400</v>
      </c>
      <c r="D25" s="243"/>
      <c r="E25" s="243"/>
      <c r="F25" s="258"/>
      <c r="G25" s="256"/>
      <c r="H25" s="257">
        <f>'DOE25'!L260+'DOE25'!L261+'DOE25'!L341+'DOE25'!L342</f>
        <v>295400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120524.69</v>
      </c>
      <c r="D29" s="20">
        <f>'DOE25'!L358+'DOE25'!L359+'DOE25'!L360-'DOE25'!I367-F29-G29</f>
        <v>120524.69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171328.08000000002</v>
      </c>
      <c r="D31" s="20">
        <f>'DOE25'!L290+'DOE25'!L309+'DOE25'!L328+'DOE25'!L333+'DOE25'!L334+'DOE25'!L335-F31-G31</f>
        <v>81770.400000000023</v>
      </c>
      <c r="E31" s="243"/>
      <c r="F31" s="255">
        <f>'DOE25'!J290+'DOE25'!J309+'DOE25'!J328+'DOE25'!J333+'DOE25'!J334+'DOE25'!J335</f>
        <v>58614.43</v>
      </c>
      <c r="G31" s="53">
        <f>'DOE25'!K290+'DOE25'!K309+'DOE25'!K328+'DOE25'!K333+'DOE25'!K334+'DOE25'!K335</f>
        <v>30943.25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11835311.949999999</v>
      </c>
      <c r="E33" s="246">
        <f>SUM(E5:E31)</f>
        <v>397137.03</v>
      </c>
      <c r="F33" s="246">
        <f>SUM(F5:F31)</f>
        <v>376639.43</v>
      </c>
      <c r="G33" s="246">
        <f>SUM(G5:G31)</f>
        <v>56081.56</v>
      </c>
      <c r="H33" s="246">
        <f>SUM(H5:H31)</f>
        <v>295400</v>
      </c>
    </row>
    <row r="35" spans="2:8" ht="12" thickBot="1" x14ac:dyDescent="0.25">
      <c r="B35" s="253" t="s">
        <v>846</v>
      </c>
      <c r="D35" s="254">
        <f>E33</f>
        <v>397137.03</v>
      </c>
      <c r="E35" s="249"/>
    </row>
    <row r="36" spans="2:8" ht="12" thickTop="1" x14ac:dyDescent="0.2">
      <c r="B36" t="s">
        <v>814</v>
      </c>
      <c r="D36" s="20">
        <f>D33</f>
        <v>11835311.949999999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RYE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712643.19</v>
      </c>
      <c r="D8" s="95">
        <f>'DOE25'!G9</f>
        <v>0</v>
      </c>
      <c r="E8" s="95">
        <f>'DOE25'!H9</f>
        <v>43964.639999999999</v>
      </c>
      <c r="F8" s="95">
        <f>'DOE25'!I9</f>
        <v>0</v>
      </c>
      <c r="G8" s="95">
        <f>'DOE25'!J9</f>
        <v>60000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185715.04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17175.45</v>
      </c>
      <c r="D11" s="95">
        <f>'DOE25'!G12</f>
        <v>0</v>
      </c>
      <c r="E11" s="95">
        <f>'DOE25'!H12</f>
        <v>47882.85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992.08</v>
      </c>
      <c r="D12" s="95">
        <f>'DOE25'!G13</f>
        <v>1488.4</v>
      </c>
      <c r="E12" s="95">
        <f>'DOE25'!H13</f>
        <v>5414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574.80999999999995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730810.71999999986</v>
      </c>
      <c r="D18" s="41">
        <f>SUM(D8:D17)</f>
        <v>2063.21</v>
      </c>
      <c r="E18" s="41">
        <f>SUM(E8:E17)</f>
        <v>97261.489999999991</v>
      </c>
      <c r="F18" s="41">
        <f>SUM(F8:F17)</f>
        <v>0</v>
      </c>
      <c r="G18" s="41">
        <f>SUM(G8:G17)</f>
        <v>245715.04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47882.85</v>
      </c>
      <c r="D21" s="95">
        <f>'DOE25'!G22</f>
        <v>922.24</v>
      </c>
      <c r="E21" s="95">
        <f>'DOE25'!H22</f>
        <v>16253.21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91.36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26931.279999999999</v>
      </c>
      <c r="D23" s="95">
        <f>'DOE25'!G24</f>
        <v>474.8</v>
      </c>
      <c r="E23" s="95">
        <f>'DOE25'!H24</f>
        <v>7832.47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74814.13</v>
      </c>
      <c r="D31" s="41">
        <f>SUM(D21:D30)</f>
        <v>1488.4</v>
      </c>
      <c r="E31" s="41">
        <f>SUM(E21:E30)</f>
        <v>24085.68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574.80999999999995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33377.449999999997</v>
      </c>
      <c r="F42" s="95">
        <f>'DOE25'!I43</f>
        <v>0</v>
      </c>
      <c r="G42" s="95">
        <f>'DOE25'!J43</f>
        <v>245715.03999999998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309444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39798.36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346552.59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655996.59000000008</v>
      </c>
      <c r="D50" s="41">
        <f>SUM(D34:D49)</f>
        <v>574.80999999999995</v>
      </c>
      <c r="E50" s="41">
        <f>SUM(E34:E49)</f>
        <v>73175.81</v>
      </c>
      <c r="F50" s="41">
        <f>SUM(F34:F49)</f>
        <v>0</v>
      </c>
      <c r="G50" s="41">
        <f>SUM(G34:G49)</f>
        <v>245715.03999999998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730810.72000000009</v>
      </c>
      <c r="D51" s="41">
        <f>D50+D31</f>
        <v>2063.21</v>
      </c>
      <c r="E51" s="41">
        <f>E50+E31</f>
        <v>97261.489999999991</v>
      </c>
      <c r="F51" s="41">
        <f>F50+F31</f>
        <v>0</v>
      </c>
      <c r="G51" s="41">
        <f>G50+G31</f>
        <v>245715.03999999998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7696629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81328.160000000003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1822.75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123597.87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2598.3200000000002</v>
      </c>
      <c r="D61" s="95">
        <f>SUM('DOE25'!G98:G110)</f>
        <v>0</v>
      </c>
      <c r="E61" s="95">
        <f>SUM('DOE25'!H98:H110)</f>
        <v>84902.51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83926.48000000001</v>
      </c>
      <c r="D62" s="130">
        <f>SUM(D57:D61)</f>
        <v>123597.87</v>
      </c>
      <c r="E62" s="130">
        <f>SUM(E57:E61)</f>
        <v>84902.51</v>
      </c>
      <c r="F62" s="130">
        <f>SUM(F57:F61)</f>
        <v>0</v>
      </c>
      <c r="G62" s="130">
        <f>SUM(G57:G61)</f>
        <v>1822.75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7780555.4800000004</v>
      </c>
      <c r="D63" s="22">
        <f>D56+D62</f>
        <v>123597.87</v>
      </c>
      <c r="E63" s="22">
        <f>E56+E62</f>
        <v>84902.51</v>
      </c>
      <c r="F63" s="22">
        <f>F56+F62</f>
        <v>0</v>
      </c>
      <c r="G63" s="22">
        <f>G56+G62</f>
        <v>1822.75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0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4681153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4681153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92425.8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19100.18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1913.34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111525.98000000001</v>
      </c>
      <c r="D78" s="130">
        <f>SUM(D72:D77)</f>
        <v>1913.34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4792678.9800000004</v>
      </c>
      <c r="D81" s="130">
        <f>SUM(D79:D80)+D78+D70</f>
        <v>1913.34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23842.53</v>
      </c>
      <c r="D88" s="95">
        <f>SUM('DOE25'!G153:G161)</f>
        <v>22257.24</v>
      </c>
      <c r="E88" s="95">
        <f>SUM('DOE25'!H153:H161)</f>
        <v>61404.6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23842.53</v>
      </c>
      <c r="D91" s="131">
        <f>SUM(D85:D90)</f>
        <v>22257.24</v>
      </c>
      <c r="E91" s="131">
        <f>SUM(E85:E90)</f>
        <v>61404.6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23482.3</v>
      </c>
      <c r="E96" s="95">
        <f>'DOE25'!H179</f>
        <v>97</v>
      </c>
      <c r="F96" s="95">
        <f>'DOE25'!I179</f>
        <v>0</v>
      </c>
      <c r="G96" s="95">
        <f>'DOE25'!J179</f>
        <v>60000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23482.3</v>
      </c>
      <c r="E103" s="86">
        <f>SUM(E93:E102)</f>
        <v>97</v>
      </c>
      <c r="F103" s="86">
        <f>SUM(F93:F102)</f>
        <v>0</v>
      </c>
      <c r="G103" s="86">
        <f>SUM(G93:G102)</f>
        <v>60000</v>
      </c>
    </row>
    <row r="104" spans="1:7" ht="12.75" thickTop="1" thickBot="1" x14ac:dyDescent="0.25">
      <c r="A104" s="33" t="s">
        <v>764</v>
      </c>
      <c r="C104" s="86">
        <f>C63+C81+C91+C103</f>
        <v>12597076.99</v>
      </c>
      <c r="D104" s="86">
        <f>D63+D81+D91+D103</f>
        <v>171250.74999999997</v>
      </c>
      <c r="E104" s="86">
        <f>E63+E81+E91+E103</f>
        <v>146404.10999999999</v>
      </c>
      <c r="F104" s="86">
        <f>F63+F81+F91+F103</f>
        <v>0</v>
      </c>
      <c r="G104" s="86">
        <f>G63+G81+G103</f>
        <v>61822.75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7184496.3999999994</v>
      </c>
      <c r="D109" s="24" t="s">
        <v>288</v>
      </c>
      <c r="E109" s="95">
        <f>('DOE25'!L276)+('DOE25'!L295)+('DOE25'!L314)</f>
        <v>39428.71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1249941.46</v>
      </c>
      <c r="D110" s="24" t="s">
        <v>288</v>
      </c>
      <c r="E110" s="95">
        <f>('DOE25'!L277)+('DOE25'!L296)+('DOE25'!L315)</f>
        <v>27007.230000000003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145664.28</v>
      </c>
      <c r="D112" s="24" t="s">
        <v>288</v>
      </c>
      <c r="E112" s="95">
        <f>+('DOE25'!L279)+('DOE25'!L298)+('DOE25'!L317)</f>
        <v>6068.81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8580102.1399999987</v>
      </c>
      <c r="D115" s="86">
        <f>SUM(D109:D114)</f>
        <v>0</v>
      </c>
      <c r="E115" s="86">
        <f>SUM(E109:E114)</f>
        <v>72504.75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702271.92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581719.91</v>
      </c>
      <c r="D119" s="24" t="s">
        <v>288</v>
      </c>
      <c r="E119" s="95">
        <f>+('DOE25'!L282)+('DOE25'!L301)+('DOE25'!L320)</f>
        <v>69376.69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610881.86</v>
      </c>
      <c r="D120" s="24" t="s">
        <v>288</v>
      </c>
      <c r="E120" s="95">
        <f>+('DOE25'!L283)+('DOE25'!L302)+('DOE25'!L321)</f>
        <v>7832.28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476052.29</v>
      </c>
      <c r="D121" s="24" t="s">
        <v>288</v>
      </c>
      <c r="E121" s="95">
        <f>+('DOE25'!L284)+('DOE25'!L303)+('DOE25'!L322)</f>
        <v>19853.36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12540.6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852454.16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317891.46000000002</v>
      </c>
      <c r="D124" s="24" t="s">
        <v>288</v>
      </c>
      <c r="E124" s="95">
        <f>+('DOE25'!L287)+('DOE25'!L306)+('DOE25'!L325)</f>
        <v>210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20311.86</v>
      </c>
      <c r="D125" s="24" t="s">
        <v>288</v>
      </c>
      <c r="E125" s="95">
        <f>+('DOE25'!L288)+('DOE25'!L307)+('DOE25'!L326)</f>
        <v>1551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171250.75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3574124.06</v>
      </c>
      <c r="D128" s="86">
        <f>SUM(D118:D127)</f>
        <v>171250.75</v>
      </c>
      <c r="E128" s="86">
        <f>SUM(E118:E127)</f>
        <v>98823.33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209591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280000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15400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23482.3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97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60000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1822.75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-1822.75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588570.30000000005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12742796.5</v>
      </c>
      <c r="D145" s="86">
        <f>(D115+D128+D144)</f>
        <v>171250.75</v>
      </c>
      <c r="E145" s="86">
        <f>(E115+E128+E144)</f>
        <v>171328.08000000002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12/96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01/17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8844720.8000000007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5.45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280000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280000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280000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280000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RYE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20053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20053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7223925</v>
      </c>
      <c r="D10" s="182">
        <f>ROUND((C10/$C$28)*100,1)</f>
        <v>58.3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1276949</v>
      </c>
      <c r="D11" s="182">
        <f>ROUND((C11/$C$28)*100,1)</f>
        <v>10.3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151733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702272</v>
      </c>
      <c r="D15" s="182">
        <f t="shared" ref="D15:D27" si="0">ROUND((C15/$C$28)*100,1)</f>
        <v>5.7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651097</v>
      </c>
      <c r="D16" s="182">
        <f t="shared" si="0"/>
        <v>5.3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640577</v>
      </c>
      <c r="D17" s="182">
        <f t="shared" si="0"/>
        <v>5.2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495906</v>
      </c>
      <c r="D18" s="182">
        <f t="shared" si="0"/>
        <v>4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12541</v>
      </c>
      <c r="D19" s="182">
        <f t="shared" si="0"/>
        <v>0.1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852454</v>
      </c>
      <c r="D20" s="182">
        <f t="shared" si="0"/>
        <v>6.9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318101</v>
      </c>
      <c r="D21" s="182">
        <f t="shared" si="0"/>
        <v>2.6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15400</v>
      </c>
      <c r="D25" s="182">
        <f t="shared" si="0"/>
        <v>0.1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47653.130000000005</v>
      </c>
      <c r="D27" s="182">
        <f t="shared" si="0"/>
        <v>0.4</v>
      </c>
    </row>
    <row r="28" spans="1:4" x14ac:dyDescent="0.2">
      <c r="B28" s="187" t="s">
        <v>722</v>
      </c>
      <c r="C28" s="180">
        <f>SUM(C10:C27)</f>
        <v>12388608.130000001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209591</v>
      </c>
    </row>
    <row r="30" spans="1:4" x14ac:dyDescent="0.2">
      <c r="B30" s="187" t="s">
        <v>728</v>
      </c>
      <c r="C30" s="180">
        <f>SUM(C28:C29)</f>
        <v>12598199.130000001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280000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7696629</v>
      </c>
      <c r="D35" s="182">
        <f t="shared" ref="D35:D40" si="1">ROUND((C35/$C$41)*100,1)</f>
        <v>60.3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170651.74000000022</v>
      </c>
      <c r="D36" s="182">
        <f t="shared" si="1"/>
        <v>1.3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4681153</v>
      </c>
      <c r="D37" s="182">
        <f t="shared" si="1"/>
        <v>36.700000000000003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113439</v>
      </c>
      <c r="D38" s="182">
        <f t="shared" si="1"/>
        <v>0.9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107504</v>
      </c>
      <c r="D39" s="182">
        <f t="shared" si="1"/>
        <v>0.8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12769376.74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RYE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2017-09-18T19:21:26Z</cp:lastPrinted>
  <dcterms:created xsi:type="dcterms:W3CDTF">1997-12-04T19:04:30Z</dcterms:created>
  <dcterms:modified xsi:type="dcterms:W3CDTF">2017-12-06T13:24:29Z</dcterms:modified>
</cp:coreProperties>
</file>