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120" windowWidth="12735" windowHeight="6390" tabRatio="855"/>
  </bookViews>
  <sheets>
    <sheet name="DOE25" sheetId="1" r:id="rId1"/>
    <sheet name="Salaries-Benefits" sheetId="2" r:id="rId2"/>
    <sheet name="Indirect Cost Rate" sheetId="3" r:id="rId3"/>
    <sheet name="MS-25" sheetId="4" r:id="rId4"/>
    <sheet name="District Profile" sheetId="5" r:id="rId5"/>
    <sheet name="District &amp; DOE Notes" sheetId="6" r:id="rId6"/>
    <sheet name="Sheet1" sheetId="7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  <definedName name="Z_CDAFBD17_E7A5_4853_A8D7_38152A835D44_.wvu.Cols" localSheetId="0" hidden="1">'DOE25'!$D:$D</definedName>
    <definedName name="Z_CDAFBD17_E7A5_4853_A8D7_38152A835D44_.wvu.PrintArea" localSheetId="5" hidden="1">'District &amp; DOE Notes'!$A$1:$N$70</definedName>
    <definedName name="Z_CDAFBD17_E7A5_4853_A8D7_38152A835D44_.wvu.PrintArea" localSheetId="4" hidden="1">'District Profile'!$A$1:$D$42</definedName>
    <definedName name="Z_CDAFBD17_E7A5_4853_A8D7_38152A835D44_.wvu.PrintArea" localSheetId="0" hidden="1">'DOE25'!$A$1:$L$673</definedName>
    <definedName name="Z_CDAFBD17_E7A5_4853_A8D7_38152A835D44_.wvu.PrintArea" localSheetId="2" hidden="1">'Indirect Cost Rate'!$A$1:$H$51</definedName>
    <definedName name="Z_CDAFBD17_E7A5_4853_A8D7_38152A835D44_.wvu.PrintArea" localSheetId="1" hidden="1">'Salaries-Benefits'!$A$1:$C$54</definedName>
    <definedName name="Z_CDAFBD17_E7A5_4853_A8D7_38152A835D44_.wvu.PrintTitles" localSheetId="0" hidden="1">'DOE25'!$A:$C,'DOE25'!$1:$3</definedName>
    <definedName name="Z_DA0E624A_FB3C_4DF0_A249_99C5F3EDDBF5_.wvu.Cols" localSheetId="0" hidden="1">'DOE25'!$D:$D</definedName>
    <definedName name="Z_DA0E624A_FB3C_4DF0_A249_99C5F3EDDBF5_.wvu.PrintArea" localSheetId="5" hidden="1">'District &amp; DOE Notes'!$A$1:$N$70</definedName>
    <definedName name="Z_DA0E624A_FB3C_4DF0_A249_99C5F3EDDBF5_.wvu.PrintArea" localSheetId="4" hidden="1">'District Profile'!$A$1:$D$42</definedName>
    <definedName name="Z_DA0E624A_FB3C_4DF0_A249_99C5F3EDDBF5_.wvu.PrintArea" localSheetId="0" hidden="1">'DOE25'!$A$1:$L$673</definedName>
    <definedName name="Z_DA0E624A_FB3C_4DF0_A249_99C5F3EDDBF5_.wvu.PrintArea" localSheetId="2" hidden="1">'Indirect Cost Rate'!$A$1:$H$51</definedName>
    <definedName name="Z_DA0E624A_FB3C_4DF0_A249_99C5F3EDDBF5_.wvu.PrintArea" localSheetId="1" hidden="1">'Salaries-Benefits'!$A$1:$C$54</definedName>
    <definedName name="Z_DA0E624A_FB3C_4DF0_A249_99C5F3EDDBF5_.wvu.PrintTitles" localSheetId="0" hidden="1">'DOE25'!$A:$C,'DOE25'!$1:$3</definedName>
  </definedNames>
  <calcPr calcId="145621"/>
  <customWorkbookViews>
    <customWorkbookView name="Deborah Payne - Personal View" guid="{CDAFBD17-E7A5-4853-A8D7-38152A835D44}" mergeInterval="0" personalView="1" maximized="1" windowWidth="1596" windowHeight="636" tabRatio="855" activeSheetId="1" showComments="commIndAndComment"/>
    <customWorkbookView name="Diana Darnstaedt - Personal View" guid="{DA0E624A-FB3C-4DF0-A249-99C5F3EDDBF5}" autoUpdate="1" mergeInterval="15" personalView="1" maximized="1" windowWidth="1596" windowHeight="675" tabRatio="855" activeSheetId="1"/>
  </customWorkbookViews>
</workbook>
</file>

<file path=xl/calcChain.xml><?xml version="1.0" encoding="utf-8"?>
<calcChain xmlns="http://schemas.openxmlformats.org/spreadsheetml/2006/main">
  <c r="I591" i="1" l="1"/>
  <c r="F13" i="1"/>
  <c r="F468" i="1"/>
  <c r="F70" i="1"/>
  <c r="H473" i="1" l="1"/>
  <c r="H48" i="1"/>
  <c r="H472" i="1"/>
  <c r="H22" i="1"/>
  <c r="F12" i="1"/>
  <c r="F22" i="1"/>
  <c r="G442" i="1"/>
  <c r="G441" i="1"/>
  <c r="F63" i="1" l="1"/>
  <c r="F472" i="1" l="1"/>
  <c r="I197" i="1" l="1"/>
  <c r="I202" i="1"/>
  <c r="F110" i="1" l="1"/>
  <c r="F251" i="1"/>
  <c r="C19" i="2"/>
  <c r="B19" i="2"/>
  <c r="C10" i="2"/>
  <c r="B10" i="2"/>
  <c r="F49" i="1" l="1"/>
  <c r="I146" i="1" l="1"/>
  <c r="I468" i="1"/>
  <c r="F57" i="1" l="1"/>
  <c r="F523" i="1" l="1"/>
  <c r="G522" i="1"/>
  <c r="F522" i="1"/>
  <c r="F521" i="1"/>
  <c r="H522" i="1"/>
  <c r="H521" i="1"/>
  <c r="H523" i="1"/>
  <c r="I333" i="1" l="1"/>
  <c r="G276" i="1"/>
  <c r="G296" i="1"/>
  <c r="G315" i="1"/>
  <c r="F277" i="1"/>
  <c r="F276" i="1"/>
  <c r="F319" i="1"/>
  <c r="H378" i="1"/>
  <c r="G48" i="1" l="1"/>
  <c r="G468" i="1" l="1"/>
  <c r="H102" i="1"/>
  <c r="G12" i="1"/>
  <c r="C37" i="2" l="1"/>
  <c r="B37" i="2"/>
  <c r="B21" i="2"/>
  <c r="B20" i="2"/>
  <c r="C21" i="2"/>
  <c r="C20" i="2"/>
  <c r="C28" i="2"/>
  <c r="H367" i="1" l="1"/>
  <c r="I360" i="1" l="1"/>
  <c r="I472" i="1" l="1"/>
  <c r="H376" i="1" l="1"/>
  <c r="I24" i="1"/>
  <c r="I9" i="1"/>
  <c r="G233" i="1" l="1"/>
  <c r="G215" i="1"/>
  <c r="G197" i="1"/>
  <c r="J502" i="1" l="1"/>
  <c r="J501" i="1"/>
  <c r="J499" i="1"/>
  <c r="J498" i="1"/>
  <c r="J495" i="1"/>
  <c r="J493" i="1"/>
  <c r="G236" i="1"/>
  <c r="F236" i="1"/>
  <c r="G234" i="1"/>
  <c r="F234" i="1"/>
  <c r="F233" i="1"/>
  <c r="F216" i="1"/>
  <c r="G216" i="1"/>
  <c r="G225" i="1"/>
  <c r="F225" i="1"/>
  <c r="F197" i="1" l="1"/>
  <c r="G198" i="1"/>
  <c r="F198" i="1"/>
  <c r="G333" i="1" l="1"/>
  <c r="F333" i="1"/>
  <c r="I502" i="1" l="1"/>
  <c r="H502" i="1" l="1"/>
  <c r="G502" i="1"/>
  <c r="F502" i="1"/>
  <c r="F78" i="1"/>
  <c r="C45" i="4" l="1"/>
  <c r="C37" i="5" l="1"/>
  <c r="F40" i="4" l="1"/>
  <c r="D39" i="4"/>
  <c r="G655" i="1"/>
  <c r="F48" i="4"/>
  <c r="E48" i="4"/>
  <c r="D48" i="4"/>
  <c r="C48" i="4"/>
  <c r="F44" i="4"/>
  <c r="E44" i="4"/>
  <c r="D44" i="4"/>
  <c r="C44" i="4"/>
  <c r="F43" i="4"/>
  <c r="E43" i="4"/>
  <c r="D43" i="4"/>
  <c r="C43" i="4"/>
  <c r="F42" i="4"/>
  <c r="E42" i="4"/>
  <c r="D42" i="4"/>
  <c r="C42" i="4"/>
  <c r="F38" i="4"/>
  <c r="E38" i="4"/>
  <c r="D38" i="4"/>
  <c r="C38" i="4"/>
  <c r="F36" i="4"/>
  <c r="E36" i="4"/>
  <c r="D36" i="4"/>
  <c r="C36" i="4"/>
  <c r="I455" i="1"/>
  <c r="J45" i="1" s="1"/>
  <c r="G44" i="4" s="1"/>
  <c r="I458" i="1"/>
  <c r="J39" i="1" s="1"/>
  <c r="G38" i="4" s="1"/>
  <c r="C68" i="4"/>
  <c r="B2" i="3"/>
  <c r="F8" i="3"/>
  <c r="G8" i="3"/>
  <c r="L204" i="1"/>
  <c r="L222" i="1"/>
  <c r="L240" i="1"/>
  <c r="D39" i="3"/>
  <c r="F13" i="3"/>
  <c r="G13" i="3"/>
  <c r="L206" i="1"/>
  <c r="L224" i="1"/>
  <c r="L242" i="1"/>
  <c r="F16" i="3"/>
  <c r="G16" i="3"/>
  <c r="L209" i="1"/>
  <c r="L227" i="1"/>
  <c r="L245" i="1"/>
  <c r="F5" i="3"/>
  <c r="G5" i="3"/>
  <c r="L197" i="1"/>
  <c r="L198" i="1"/>
  <c r="L199" i="1"/>
  <c r="L200" i="1"/>
  <c r="L215" i="1"/>
  <c r="L216" i="1"/>
  <c r="L217" i="1"/>
  <c r="L218" i="1"/>
  <c r="L233" i="1"/>
  <c r="L234" i="1"/>
  <c r="L235" i="1"/>
  <c r="C12" i="5" s="1"/>
  <c r="L236" i="1"/>
  <c r="F6" i="3"/>
  <c r="G6" i="3"/>
  <c r="L202" i="1"/>
  <c r="C118" i="4" s="1"/>
  <c r="L220" i="1"/>
  <c r="L238" i="1"/>
  <c r="F7" i="3"/>
  <c r="G7" i="3"/>
  <c r="L203" i="1"/>
  <c r="L221" i="1"/>
  <c r="L239" i="1"/>
  <c r="F12" i="3"/>
  <c r="G12" i="3"/>
  <c r="L205" i="1"/>
  <c r="L223" i="1"/>
  <c r="L241" i="1"/>
  <c r="F14" i="3"/>
  <c r="G14" i="3"/>
  <c r="L207" i="1"/>
  <c r="L225" i="1"/>
  <c r="C20" i="5" s="1"/>
  <c r="L243" i="1"/>
  <c r="F15" i="3"/>
  <c r="G15" i="3"/>
  <c r="L208" i="1"/>
  <c r="G649" i="1" s="1"/>
  <c r="J649" i="1" s="1"/>
  <c r="L226" i="1"/>
  <c r="L244" i="1"/>
  <c r="H662" i="1" s="1"/>
  <c r="F17" i="3"/>
  <c r="D17" i="3" s="1"/>
  <c r="C17" i="3" s="1"/>
  <c r="G17" i="3"/>
  <c r="L251" i="1"/>
  <c r="F18" i="3"/>
  <c r="G18" i="3"/>
  <c r="L252" i="1"/>
  <c r="F19" i="3"/>
  <c r="G19" i="3"/>
  <c r="L253" i="1"/>
  <c r="F29" i="3"/>
  <c r="G29" i="3"/>
  <c r="L358" i="1"/>
  <c r="L359" i="1"/>
  <c r="L360" i="1"/>
  <c r="H661" i="1" s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C15" i="5" s="1"/>
  <c r="L282" i="1"/>
  <c r="L283" i="1"/>
  <c r="E120" i="4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6" i="1"/>
  <c r="L317" i="1"/>
  <c r="L319" i="1"/>
  <c r="L320" i="1"/>
  <c r="C16" i="5" s="1"/>
  <c r="L321" i="1"/>
  <c r="L322" i="1"/>
  <c r="L323" i="1"/>
  <c r="L324" i="1"/>
  <c r="L325" i="1"/>
  <c r="L326" i="1"/>
  <c r="L333" i="1"/>
  <c r="L334" i="1"/>
  <c r="L335" i="1"/>
  <c r="L260" i="1"/>
  <c r="H25" i="3" s="1"/>
  <c r="L261" i="1"/>
  <c r="L341" i="1"/>
  <c r="L342" i="1"/>
  <c r="L255" i="1"/>
  <c r="F22" i="3" s="1"/>
  <c r="C22" i="3" s="1"/>
  <c r="L336" i="1"/>
  <c r="C11" i="3"/>
  <c r="C10" i="3"/>
  <c r="C9" i="3"/>
  <c r="L361" i="1"/>
  <c r="B4" i="2"/>
  <c r="B36" i="2"/>
  <c r="A40" i="2" s="1"/>
  <c r="C36" i="2"/>
  <c r="B40" i="2"/>
  <c r="C40" i="2"/>
  <c r="B27" i="2"/>
  <c r="C27" i="2"/>
  <c r="B31" i="2"/>
  <c r="C31" i="2"/>
  <c r="B9" i="2"/>
  <c r="B13" i="2"/>
  <c r="C9" i="2"/>
  <c r="C13" i="2"/>
  <c r="A13" i="2" s="1"/>
  <c r="B22" i="2"/>
  <c r="C18" i="2"/>
  <c r="C22" i="2"/>
  <c r="B1" i="2"/>
  <c r="L387" i="1"/>
  <c r="L388" i="1"/>
  <c r="L393" i="1" s="1"/>
  <c r="C138" i="4" s="1"/>
  <c r="L389" i="1"/>
  <c r="L390" i="1"/>
  <c r="L391" i="1"/>
  <c r="L392" i="1"/>
  <c r="L395" i="1"/>
  <c r="L396" i="1"/>
  <c r="L397" i="1"/>
  <c r="L398" i="1"/>
  <c r="L399" i="1"/>
  <c r="L400" i="1"/>
  <c r="L401" i="1" s="1"/>
  <c r="C139" i="4" s="1"/>
  <c r="L403" i="1"/>
  <c r="L404" i="1"/>
  <c r="L405" i="1"/>
  <c r="L406" i="1"/>
  <c r="L266" i="1"/>
  <c r="J60" i="1"/>
  <c r="G56" i="4" s="1"/>
  <c r="G59" i="4"/>
  <c r="G61" i="4"/>
  <c r="F2" i="6"/>
  <c r="L613" i="1"/>
  <c r="H663" i="1" s="1"/>
  <c r="L612" i="1"/>
  <c r="G663" i="1" s="1"/>
  <c r="L611" i="1"/>
  <c r="F663" i="1" s="1"/>
  <c r="C40" i="5"/>
  <c r="F60" i="1"/>
  <c r="C56" i="4" s="1"/>
  <c r="G60" i="1"/>
  <c r="H60" i="1"/>
  <c r="I60" i="1"/>
  <c r="F79" i="1"/>
  <c r="C57" i="4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F85" i="4" s="1"/>
  <c r="I162" i="1"/>
  <c r="L250" i="1"/>
  <c r="L332" i="1"/>
  <c r="L254" i="1"/>
  <c r="C25" i="5"/>
  <c r="L268" i="1"/>
  <c r="L269" i="1"/>
  <c r="L349" i="1"/>
  <c r="L350" i="1"/>
  <c r="I665" i="1"/>
  <c r="I670" i="1"/>
  <c r="G661" i="1"/>
  <c r="I669" i="1"/>
  <c r="C42" i="5"/>
  <c r="C32" i="5"/>
  <c r="L374" i="1"/>
  <c r="L375" i="1"/>
  <c r="L376" i="1"/>
  <c r="L377" i="1"/>
  <c r="L378" i="1"/>
  <c r="L379" i="1"/>
  <c r="L380" i="1"/>
  <c r="B2" i="5"/>
  <c r="L344" i="1"/>
  <c r="L351" i="1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K549" i="1" s="1"/>
  <c r="L542" i="1"/>
  <c r="J550" i="1" s="1"/>
  <c r="L543" i="1"/>
  <c r="J551" i="1" s="1"/>
  <c r="E132" i="4"/>
  <c r="E131" i="4"/>
  <c r="K270" i="1"/>
  <c r="J270" i="1"/>
  <c r="I270" i="1"/>
  <c r="H270" i="1"/>
  <c r="G270" i="1"/>
  <c r="F270" i="1"/>
  <c r="C132" i="4"/>
  <c r="C131" i="4"/>
  <c r="A1" i="4"/>
  <c r="A2" i="4"/>
  <c r="C8" i="4"/>
  <c r="D8" i="4"/>
  <c r="E8" i="4"/>
  <c r="F8" i="4"/>
  <c r="I439" i="1"/>
  <c r="J9" i="1" s="1"/>
  <c r="G8" i="4" s="1"/>
  <c r="C9" i="4"/>
  <c r="D9" i="4"/>
  <c r="E9" i="4"/>
  <c r="F9" i="4"/>
  <c r="I440" i="1"/>
  <c r="J10" i="1" s="1"/>
  <c r="G9" i="4" s="1"/>
  <c r="C10" i="4"/>
  <c r="C11" i="4"/>
  <c r="D11" i="4"/>
  <c r="D18" i="4" s="1"/>
  <c r="E11" i="4"/>
  <c r="F11" i="4"/>
  <c r="I441" i="1"/>
  <c r="J12" i="1" s="1"/>
  <c r="G11" i="4" s="1"/>
  <c r="C12" i="4"/>
  <c r="D12" i="4"/>
  <c r="E12" i="4"/>
  <c r="F12" i="4"/>
  <c r="I442" i="1"/>
  <c r="J13" i="1" s="1"/>
  <c r="G12" i="4" s="1"/>
  <c r="C13" i="4"/>
  <c r="D13" i="4"/>
  <c r="E13" i="4"/>
  <c r="F13" i="4"/>
  <c r="I443" i="1"/>
  <c r="J14" i="1" s="1"/>
  <c r="G13" i="4" s="1"/>
  <c r="F14" i="4"/>
  <c r="C15" i="4"/>
  <c r="D15" i="4"/>
  <c r="E15" i="4"/>
  <c r="F15" i="4"/>
  <c r="C16" i="4"/>
  <c r="D16" i="4"/>
  <c r="E16" i="4"/>
  <c r="F16" i="4"/>
  <c r="I444" i="1"/>
  <c r="J17" i="1" s="1"/>
  <c r="C17" i="4"/>
  <c r="D17" i="4"/>
  <c r="E17" i="4"/>
  <c r="F17" i="4"/>
  <c r="I445" i="1"/>
  <c r="J18" i="1" s="1"/>
  <c r="G17" i="4" s="1"/>
  <c r="C21" i="4"/>
  <c r="D21" i="4"/>
  <c r="E21" i="4"/>
  <c r="F21" i="4"/>
  <c r="I448" i="1"/>
  <c r="J22" i="1" s="1"/>
  <c r="C22" i="4"/>
  <c r="D22" i="4"/>
  <c r="E22" i="4"/>
  <c r="F22" i="4"/>
  <c r="I449" i="1"/>
  <c r="J23" i="1" s="1"/>
  <c r="C23" i="4"/>
  <c r="D23" i="4"/>
  <c r="E23" i="4"/>
  <c r="F23" i="4"/>
  <c r="I450" i="1"/>
  <c r="J24" i="1" s="1"/>
  <c r="G23" i="4" s="1"/>
  <c r="C24" i="4"/>
  <c r="D24" i="4"/>
  <c r="E24" i="4"/>
  <c r="F24" i="4"/>
  <c r="C25" i="4"/>
  <c r="F25" i="4"/>
  <c r="C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I451" i="1"/>
  <c r="J31" i="1" s="1"/>
  <c r="G30" i="4" s="1"/>
  <c r="C34" i="4"/>
  <c r="D34" i="4"/>
  <c r="E34" i="4"/>
  <c r="F34" i="4"/>
  <c r="C35" i="4"/>
  <c r="D35" i="4"/>
  <c r="E35" i="4"/>
  <c r="F35" i="4"/>
  <c r="I454" i="1"/>
  <c r="J49" i="1" s="1"/>
  <c r="G48" i="4" s="1"/>
  <c r="I456" i="1"/>
  <c r="J43" i="1" s="1"/>
  <c r="I457" i="1"/>
  <c r="J37" i="1" s="1"/>
  <c r="I459" i="1"/>
  <c r="J48" i="1" s="1"/>
  <c r="G47" i="4" s="1"/>
  <c r="D56" i="4"/>
  <c r="E56" i="4"/>
  <c r="F56" i="4"/>
  <c r="E57" i="4"/>
  <c r="C58" i="4"/>
  <c r="E58" i="4"/>
  <c r="C59" i="4"/>
  <c r="D59" i="4"/>
  <c r="E59" i="4"/>
  <c r="F59" i="4"/>
  <c r="D60" i="4"/>
  <c r="C61" i="4"/>
  <c r="D61" i="4"/>
  <c r="E61" i="4"/>
  <c r="E62" i="4" s="1"/>
  <c r="E63" i="4" s="1"/>
  <c r="F61" i="4"/>
  <c r="C66" i="4"/>
  <c r="C67" i="4"/>
  <c r="C70" i="4" s="1"/>
  <c r="C69" i="4"/>
  <c r="D69" i="4"/>
  <c r="D70" i="4" s="1"/>
  <c r="E69" i="4"/>
  <c r="E70" i="4" s="1"/>
  <c r="F69" i="4"/>
  <c r="F70" i="4" s="1"/>
  <c r="G69" i="4"/>
  <c r="G70" i="4" s="1"/>
  <c r="C72" i="4"/>
  <c r="F72" i="4"/>
  <c r="C73" i="4"/>
  <c r="F73" i="4"/>
  <c r="C74" i="4"/>
  <c r="C75" i="4"/>
  <c r="C76" i="4"/>
  <c r="E76" i="4"/>
  <c r="F76" i="4"/>
  <c r="C77" i="4"/>
  <c r="D77" i="4"/>
  <c r="D78" i="4" s="1"/>
  <c r="E77" i="4"/>
  <c r="F77" i="4"/>
  <c r="G77" i="4"/>
  <c r="G78" i="4" s="1"/>
  <c r="G81" i="4" s="1"/>
  <c r="C79" i="4"/>
  <c r="D79" i="4"/>
  <c r="E79" i="4"/>
  <c r="C80" i="4"/>
  <c r="E80" i="4"/>
  <c r="C85" i="4"/>
  <c r="D85" i="4"/>
  <c r="E85" i="4"/>
  <c r="C87" i="4"/>
  <c r="E87" i="4"/>
  <c r="F87" i="4"/>
  <c r="C88" i="4"/>
  <c r="C91" i="4" s="1"/>
  <c r="D88" i="4"/>
  <c r="D91" i="4" s="1"/>
  <c r="E88" i="4"/>
  <c r="F88" i="4"/>
  <c r="C89" i="4"/>
  <c r="D89" i="4"/>
  <c r="E89" i="4"/>
  <c r="F89" i="4"/>
  <c r="C90" i="4"/>
  <c r="C93" i="4"/>
  <c r="F93" i="4"/>
  <c r="C94" i="4"/>
  <c r="F94" i="4"/>
  <c r="D96" i="4"/>
  <c r="E96" i="4"/>
  <c r="F96" i="4"/>
  <c r="G96" i="4"/>
  <c r="C97" i="4"/>
  <c r="D97" i="4"/>
  <c r="E97" i="4"/>
  <c r="F97" i="4"/>
  <c r="G97" i="4"/>
  <c r="C98" i="4"/>
  <c r="D98" i="4"/>
  <c r="E98" i="4"/>
  <c r="G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E111" i="4"/>
  <c r="C112" i="4"/>
  <c r="C113" i="4"/>
  <c r="E113" i="4"/>
  <c r="C114" i="4"/>
  <c r="E114" i="4"/>
  <c r="D115" i="4"/>
  <c r="F115" i="4"/>
  <c r="G115" i="4"/>
  <c r="C119" i="4"/>
  <c r="E121" i="4"/>
  <c r="E122" i="4"/>
  <c r="E123" i="4"/>
  <c r="E124" i="4"/>
  <c r="E125" i="4"/>
  <c r="F128" i="4"/>
  <c r="G128" i="4"/>
  <c r="C130" i="4"/>
  <c r="E130" i="4"/>
  <c r="D134" i="4"/>
  <c r="D144" i="4" s="1"/>
  <c r="F134" i="4"/>
  <c r="K419" i="1"/>
  <c r="K427" i="1"/>
  <c r="K433" i="1"/>
  <c r="L263" i="1"/>
  <c r="C135" i="4" s="1"/>
  <c r="E135" i="4"/>
  <c r="L264" i="1"/>
  <c r="C136" i="4" s="1"/>
  <c r="L265" i="1"/>
  <c r="C137" i="4" s="1"/>
  <c r="E137" i="4"/>
  <c r="C142" i="4"/>
  <c r="E142" i="4"/>
  <c r="C143" i="4"/>
  <c r="E143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F500" i="1"/>
  <c r="B161" i="4" s="1"/>
  <c r="G500" i="1"/>
  <c r="C161" i="4" s="1"/>
  <c r="H500" i="1"/>
  <c r="D161" i="4" s="1"/>
  <c r="I500" i="1"/>
  <c r="E161" i="4" s="1"/>
  <c r="J500" i="1"/>
  <c r="F161" i="4" s="1"/>
  <c r="B162" i="4"/>
  <c r="C162" i="4"/>
  <c r="D162" i="4"/>
  <c r="E162" i="4"/>
  <c r="F162" i="4"/>
  <c r="B163" i="4"/>
  <c r="C163" i="4"/>
  <c r="D163" i="4"/>
  <c r="E163" i="4"/>
  <c r="F163" i="4"/>
  <c r="F503" i="1"/>
  <c r="B164" i="4" s="1"/>
  <c r="G503" i="1"/>
  <c r="C164" i="4" s="1"/>
  <c r="H503" i="1"/>
  <c r="D164" i="4" s="1"/>
  <c r="I503" i="1"/>
  <c r="E164" i="4" s="1"/>
  <c r="J503" i="1"/>
  <c r="F164" i="4" s="1"/>
  <c r="F19" i="1"/>
  <c r="G19" i="1"/>
  <c r="G51" i="1" s="1"/>
  <c r="G623" i="1" s="1"/>
  <c r="H19" i="1"/>
  <c r="E47" i="4" s="1"/>
  <c r="I19" i="1"/>
  <c r="I48" i="1" s="1"/>
  <c r="F47" i="4" s="1"/>
  <c r="F32" i="1"/>
  <c r="G32" i="1"/>
  <c r="H32" i="1"/>
  <c r="I32" i="1"/>
  <c r="H51" i="1"/>
  <c r="G624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H645" i="1"/>
  <c r="G650" i="1"/>
  <c r="G652" i="1"/>
  <c r="H652" i="1"/>
  <c r="G653" i="1"/>
  <c r="H653" i="1"/>
  <c r="G654" i="1"/>
  <c r="H654" i="1"/>
  <c r="H655" i="1"/>
  <c r="F192" i="1"/>
  <c r="C26" i="5"/>
  <c r="A31" i="2"/>
  <c r="D18" i="3"/>
  <c r="C18" i="3" s="1"/>
  <c r="F78" i="4"/>
  <c r="F81" i="4" s="1"/>
  <c r="G157" i="4"/>
  <c r="E103" i="4"/>
  <c r="G62" i="4"/>
  <c r="D19" i="3"/>
  <c r="C19" i="3" s="1"/>
  <c r="E78" i="4"/>
  <c r="E81" i="4" s="1"/>
  <c r="L427" i="1"/>
  <c r="J641" i="1"/>
  <c r="J639" i="1"/>
  <c r="J571" i="1"/>
  <c r="K571" i="1"/>
  <c r="L433" i="1"/>
  <c r="L419" i="1"/>
  <c r="D81" i="4"/>
  <c r="I169" i="1"/>
  <c r="G552" i="1"/>
  <c r="J643" i="1"/>
  <c r="I476" i="1"/>
  <c r="H625" i="1" s="1"/>
  <c r="J140" i="1"/>
  <c r="F571" i="1"/>
  <c r="K550" i="1"/>
  <c r="G22" i="4"/>
  <c r="H552" i="1"/>
  <c r="H140" i="1"/>
  <c r="H571" i="1"/>
  <c r="L560" i="1"/>
  <c r="J545" i="1"/>
  <c r="G192" i="1"/>
  <c r="H192" i="1"/>
  <c r="J655" i="1"/>
  <c r="J645" i="1"/>
  <c r="L570" i="1"/>
  <c r="I571" i="1"/>
  <c r="I545" i="1"/>
  <c r="G36" i="4"/>
  <c r="G545" i="1"/>
  <c r="I446" i="1" l="1"/>
  <c r="G642" i="1" s="1"/>
  <c r="F169" i="1"/>
  <c r="F476" i="1"/>
  <c r="H622" i="1" s="1"/>
  <c r="K338" i="1"/>
  <c r="G619" i="1"/>
  <c r="F50" i="1"/>
  <c r="C49" i="4" s="1"/>
  <c r="E134" i="4"/>
  <c r="E144" i="4" s="1"/>
  <c r="K352" i="1"/>
  <c r="I51" i="1"/>
  <c r="G625" i="1" s="1"/>
  <c r="F18" i="4"/>
  <c r="C18" i="4"/>
  <c r="J476" i="1"/>
  <c r="H626" i="1" s="1"/>
  <c r="L529" i="1"/>
  <c r="D15" i="3"/>
  <c r="C15" i="3" s="1"/>
  <c r="C25" i="3"/>
  <c r="H33" i="3"/>
  <c r="L524" i="1"/>
  <c r="E31" i="4"/>
  <c r="H52" i="1"/>
  <c r="H619" i="1" s="1"/>
  <c r="D47" i="4"/>
  <c r="D50" i="4" s="1"/>
  <c r="L544" i="1"/>
  <c r="J552" i="1"/>
  <c r="K551" i="1"/>
  <c r="G52" i="1"/>
  <c r="H618" i="1" s="1"/>
  <c r="J618" i="1" s="1"/>
  <c r="G617" i="1"/>
  <c r="J634" i="1"/>
  <c r="C47" i="4"/>
  <c r="J640" i="1"/>
  <c r="I460" i="1"/>
  <c r="I461" i="1" s="1"/>
  <c r="H642" i="1" s="1"/>
  <c r="J642" i="1" s="1"/>
  <c r="H476" i="1"/>
  <c r="H624" i="1" s="1"/>
  <c r="J624" i="1" s="1"/>
  <c r="J623" i="1"/>
  <c r="F661" i="1"/>
  <c r="I661" i="1" s="1"/>
  <c r="L362" i="1"/>
  <c r="D127" i="4"/>
  <c r="D128" i="4" s="1"/>
  <c r="D145" i="4" s="1"/>
  <c r="D29" i="3"/>
  <c r="C29" i="3" s="1"/>
  <c r="J625" i="1"/>
  <c r="C29" i="5"/>
  <c r="D62" i="4"/>
  <c r="D63" i="4" s="1"/>
  <c r="D6" i="3"/>
  <c r="C6" i="3" s="1"/>
  <c r="D31" i="4"/>
  <c r="G156" i="4"/>
  <c r="E16" i="3"/>
  <c r="C16" i="3" s="1"/>
  <c r="C122" i="4"/>
  <c r="D7" i="3"/>
  <c r="C7" i="3" s="1"/>
  <c r="C111" i="4"/>
  <c r="J257" i="1"/>
  <c r="J271" i="1" s="1"/>
  <c r="C125" i="4"/>
  <c r="C123" i="4"/>
  <c r="C121" i="4"/>
  <c r="C17" i="5"/>
  <c r="I257" i="1"/>
  <c r="I271" i="1" s="1"/>
  <c r="C110" i="4"/>
  <c r="L229" i="1"/>
  <c r="C109" i="4"/>
  <c r="D14" i="3"/>
  <c r="C14" i="3" s="1"/>
  <c r="C19" i="5"/>
  <c r="E13" i="3"/>
  <c r="C13" i="3" s="1"/>
  <c r="C18" i="5"/>
  <c r="D12" i="3"/>
  <c r="C12" i="3" s="1"/>
  <c r="E8" i="3"/>
  <c r="C8" i="3" s="1"/>
  <c r="C120" i="4"/>
  <c r="K257" i="1"/>
  <c r="K271" i="1" s="1"/>
  <c r="D5" i="3"/>
  <c r="C5" i="3" s="1"/>
  <c r="F257" i="1"/>
  <c r="F271" i="1" s="1"/>
  <c r="E119" i="4"/>
  <c r="J338" i="1"/>
  <c r="J352" i="1" s="1"/>
  <c r="L309" i="1"/>
  <c r="C13" i="5"/>
  <c r="H338" i="1"/>
  <c r="H352" i="1" s="1"/>
  <c r="G338" i="1"/>
  <c r="G352" i="1" s="1"/>
  <c r="E109" i="4"/>
  <c r="E118" i="4"/>
  <c r="E112" i="4"/>
  <c r="C10" i="5"/>
  <c r="L290" i="1"/>
  <c r="G161" i="4"/>
  <c r="G164" i="4"/>
  <c r="K503" i="1"/>
  <c r="K500" i="1"/>
  <c r="C78" i="4"/>
  <c r="F112" i="1"/>
  <c r="C62" i="4"/>
  <c r="C63" i="4" s="1"/>
  <c r="C35" i="5"/>
  <c r="C81" i="4"/>
  <c r="L256" i="1"/>
  <c r="H257" i="1"/>
  <c r="H271" i="1" s="1"/>
  <c r="G257" i="1"/>
  <c r="G271" i="1" s="1"/>
  <c r="L247" i="1"/>
  <c r="C21" i="5"/>
  <c r="G651" i="1"/>
  <c r="J651" i="1" s="1"/>
  <c r="H647" i="1"/>
  <c r="C124" i="4"/>
  <c r="F662" i="1"/>
  <c r="I662" i="1" s="1"/>
  <c r="L211" i="1"/>
  <c r="K598" i="1"/>
  <c r="G647" i="1" s="1"/>
  <c r="J647" i="1" s="1"/>
  <c r="F130" i="4"/>
  <c r="F144" i="4" s="1"/>
  <c r="F145" i="4" s="1"/>
  <c r="L382" i="1"/>
  <c r="G636" i="1" s="1"/>
  <c r="J636" i="1" s="1"/>
  <c r="I552" i="1"/>
  <c r="L539" i="1"/>
  <c r="K552" i="1"/>
  <c r="L337" i="1"/>
  <c r="F62" i="4"/>
  <c r="F63" i="4" s="1"/>
  <c r="C23" i="5"/>
  <c r="G163" i="4"/>
  <c r="G162" i="4"/>
  <c r="G160" i="4"/>
  <c r="G159" i="4"/>
  <c r="G158" i="4"/>
  <c r="G103" i="4"/>
  <c r="F103" i="4"/>
  <c r="C103" i="4"/>
  <c r="F91" i="4"/>
  <c r="E50" i="4"/>
  <c r="F31" i="4"/>
  <c r="C31" i="4"/>
  <c r="E18" i="4"/>
  <c r="F50" i="4"/>
  <c r="C24" i="5"/>
  <c r="G31" i="3"/>
  <c r="G33" i="3" s="1"/>
  <c r="I338" i="1"/>
  <c r="I352" i="1" s="1"/>
  <c r="J650" i="1"/>
  <c r="L407" i="1"/>
  <c r="C140" i="4" s="1"/>
  <c r="C141" i="4" s="1"/>
  <c r="C144" i="4" s="1"/>
  <c r="L571" i="1"/>
  <c r="I192" i="1"/>
  <c r="E91" i="4"/>
  <c r="E104" i="4" s="1"/>
  <c r="L408" i="1"/>
  <c r="G637" i="1" s="1"/>
  <c r="J637" i="1" s="1"/>
  <c r="J654" i="1"/>
  <c r="J653" i="1"/>
  <c r="G21" i="4"/>
  <c r="G31" i="4" s="1"/>
  <c r="J32" i="1"/>
  <c r="L434" i="1"/>
  <c r="G638" i="1" s="1"/>
  <c r="J638" i="1" s="1"/>
  <c r="J434" i="1"/>
  <c r="F434" i="1"/>
  <c r="K434" i="1"/>
  <c r="G134" i="4" s="1"/>
  <c r="G144" i="4" s="1"/>
  <c r="G145" i="4" s="1"/>
  <c r="F31" i="3"/>
  <c r="J193" i="1"/>
  <c r="G646" i="1" s="1"/>
  <c r="H193" i="1"/>
  <c r="G629" i="1" s="1"/>
  <c r="J629" i="1" s="1"/>
  <c r="G169" i="1"/>
  <c r="C39" i="5" s="1"/>
  <c r="G140" i="1"/>
  <c r="F140" i="1"/>
  <c r="G63" i="4"/>
  <c r="G104" i="4" s="1"/>
  <c r="G42" i="4"/>
  <c r="J51" i="1"/>
  <c r="G16" i="4"/>
  <c r="J19" i="1"/>
  <c r="G621" i="1" s="1"/>
  <c r="F33" i="3"/>
  <c r="G18" i="4"/>
  <c r="F545" i="1"/>
  <c r="H434" i="1"/>
  <c r="D103" i="4"/>
  <c r="I140" i="1"/>
  <c r="I193" i="1" s="1"/>
  <c r="G630" i="1" s="1"/>
  <c r="J630" i="1" s="1"/>
  <c r="H646" i="1"/>
  <c r="G50" i="4"/>
  <c r="G51" i="4" s="1"/>
  <c r="J652" i="1"/>
  <c r="G571" i="1"/>
  <c r="I434" i="1"/>
  <c r="G434" i="1"/>
  <c r="I663" i="1"/>
  <c r="C27" i="5"/>
  <c r="G635" i="1"/>
  <c r="J635" i="1" s="1"/>
  <c r="J619" i="1" l="1"/>
  <c r="C50" i="4"/>
  <c r="C51" i="4" s="1"/>
  <c r="I52" i="1"/>
  <c r="H620" i="1" s="1"/>
  <c r="J620" i="1" s="1"/>
  <c r="F51" i="1"/>
  <c r="L545" i="1"/>
  <c r="D51" i="4"/>
  <c r="D104" i="4"/>
  <c r="E51" i="4"/>
  <c r="F51" i="4"/>
  <c r="G660" i="1"/>
  <c r="G664" i="1" s="1"/>
  <c r="G667" i="1" s="1"/>
  <c r="L257" i="1"/>
  <c r="L271" i="1" s="1"/>
  <c r="G632" i="1" s="1"/>
  <c r="J632" i="1" s="1"/>
  <c r="C115" i="4"/>
  <c r="E33" i="3"/>
  <c r="D35" i="3" s="1"/>
  <c r="C128" i="4"/>
  <c r="H648" i="1"/>
  <c r="J648" i="1" s="1"/>
  <c r="E128" i="4"/>
  <c r="F193" i="1"/>
  <c r="G627" i="1" s="1"/>
  <c r="J627" i="1" s="1"/>
  <c r="C36" i="5"/>
  <c r="C104" i="4"/>
  <c r="F660" i="1"/>
  <c r="F104" i="4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5"/>
  <c r="G622" i="1" l="1"/>
  <c r="J622" i="1" s="1"/>
  <c r="F52" i="1"/>
  <c r="H617" i="1" s="1"/>
  <c r="J617" i="1" s="1"/>
  <c r="C145" i="4"/>
  <c r="G672" i="1"/>
  <c r="C5" i="5" s="1"/>
  <c r="F664" i="1"/>
  <c r="C41" i="5"/>
  <c r="D38" i="5" s="1"/>
  <c r="F672" i="1" l="1"/>
  <c r="C4" i="5" s="1"/>
  <c r="F667" i="1"/>
  <c r="D37" i="5"/>
  <c r="D36" i="5"/>
  <c r="D35" i="5"/>
  <c r="D40" i="5"/>
  <c r="D39" i="5"/>
  <c r="D41" i="5" l="1"/>
  <c r="L315" i="1" l="1"/>
  <c r="E110" i="4" s="1"/>
  <c r="E115" i="4" s="1"/>
  <c r="E145" i="4" s="1"/>
  <c r="B18" i="2"/>
  <c r="A22" i="2" s="1"/>
  <c r="F328" i="1"/>
  <c r="F338" i="1" s="1"/>
  <c r="F352" i="1" s="1"/>
  <c r="C11" i="5" l="1"/>
  <c r="L328" i="1"/>
  <c r="H660" i="1" l="1"/>
  <c r="L338" i="1"/>
  <c r="L352" i="1" s="1"/>
  <c r="G633" i="1" s="1"/>
  <c r="D31" i="3"/>
  <c r="C28" i="5"/>
  <c r="D11" i="5" s="1"/>
  <c r="I660" i="1" l="1"/>
  <c r="I664" i="1" s="1"/>
  <c r="H664" i="1"/>
  <c r="D18" i="5"/>
  <c r="C30" i="5"/>
  <c r="D20" i="5"/>
  <c r="D26" i="5"/>
  <c r="D27" i="5"/>
  <c r="D12" i="5"/>
  <c r="D17" i="5"/>
  <c r="D13" i="5"/>
  <c r="D15" i="5"/>
  <c r="D23" i="5"/>
  <c r="D24" i="5"/>
  <c r="D19" i="5"/>
  <c r="D25" i="5"/>
  <c r="D10" i="5"/>
  <c r="D16" i="5"/>
  <c r="D21" i="5"/>
  <c r="D22" i="5"/>
  <c r="C31" i="3"/>
  <c r="D33" i="3"/>
  <c r="D36" i="3" s="1"/>
  <c r="H656" i="1"/>
  <c r="J633" i="1"/>
  <c r="D28" i="5" l="1"/>
  <c r="H667" i="1"/>
  <c r="H672" i="1"/>
  <c r="C6" i="5" s="1"/>
  <c r="I667" i="1"/>
  <c r="I672" i="1"/>
  <c r="C7" i="5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<sst xmlns="http://schemas.openxmlformats.org/spreadsheetml/2006/main" count="3968" uniqueCount="925">
  <si>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</si>
  <si>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</si>
  <si>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</si>
  <si>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</si>
  <si>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</si>
  <si>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</si>
  <si>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</si>
  <si>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</si>
  <si>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</si>
  <si>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</si>
  <si>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</si>
  <si>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</si>
  <si>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</si>
  <si>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</si>
  <si>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</si>
  <si>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</si>
  <si>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</si>
  <si>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</si>
  <si>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</si>
  <si>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</si>
  <si>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</si>
  <si>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</si>
  <si>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</si>
  <si>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</si>
  <si>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</si>
  <si>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</si>
  <si>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</si>
  <si>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</si>
  <si>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</si>
  <si>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</si>
  <si>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</si>
  <si>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</si>
  <si>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</si>
  <si>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</si>
  <si>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</si>
  <si>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</si>
  <si>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</si>
  <si>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</si>
  <si>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</si>
  <si>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</si>
  <si>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</si>
  <si>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</si>
  <si>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</si>
  <si>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</si>
  <si>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</si>
  <si>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</si>
  <si>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</si>
  <si>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</si>
  <si>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</si>
  <si>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</si>
  <si>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</si>
  <si>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</si>
  <si>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</si>
  <si>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</si>
  <si>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</si>
  <si>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</si>
  <si>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</si>
  <si>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</si>
  <si>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</si>
  <si>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</si>
  <si>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</si>
  <si>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</si>
  <si>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</si>
  <si>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</si>
  <si>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</si>
  <si>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</si>
  <si>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</si>
  <si>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</si>
  <si>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</si>
  <si>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</si>
  <si>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</si>
  <si>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</si>
  <si>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</si>
  <si>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</si>
  <si>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</si>
  <si>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</si>
  <si>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</si>
  <si>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</si>
  <si>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</si>
  <si>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</si>
  <si>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</si>
  <si>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</si>
  <si>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</si>
  <si>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</si>
  <si>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</si>
  <si>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</si>
  <si>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</si>
  <si>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</si>
  <si>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</si>
  <si>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</si>
  <si>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</si>
  <si>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</si>
  <si>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</si>
  <si>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</si>
  <si>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</si>
  <si>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</si>
  <si>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</si>
  <si>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</si>
  <si>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</si>
  <si>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</si>
  <si>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</si>
  <si>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</si>
  <si>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</si>
  <si>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</si>
  <si>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</si>
  <si>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</si>
  <si>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</si>
  <si>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</si>
  <si>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</si>
  <si>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</si>
  <si>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</si>
  <si>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</si>
  <si>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</si>
  <si>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</si>
  <si>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</si>
  <si>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</si>
  <si>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</si>
  <si>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</si>
  <si>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</si>
  <si>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</si>
  <si>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</si>
  <si>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</si>
  <si>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</si>
  <si>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</si>
  <si>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</si>
  <si>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</si>
  <si>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</si>
  <si>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</si>
  <si>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</si>
  <si>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</si>
  <si>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</si>
  <si>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</si>
  <si>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</si>
  <si>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</si>
  <si>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</si>
  <si>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</si>
  <si>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</si>
  <si>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</si>
  <si>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</si>
  <si>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</si>
  <si>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</si>
  <si>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</si>
  <si>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</si>
  <si>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</si>
  <si>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</si>
  <si>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</si>
  <si>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</si>
  <si>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</si>
  <si>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</si>
  <si>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</si>
  <si>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</si>
  <si>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</si>
  <si>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</si>
  <si>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</si>
  <si>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</si>
  <si>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</si>
  <si>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</si>
  <si>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</si>
  <si>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</si>
  <si>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</si>
  <si>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</si>
  <si>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</si>
  <si>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</si>
  <si>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</si>
  <si>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</si>
  <si>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</si>
  <si>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</si>
  <si>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</si>
  <si>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</si>
  <si>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</si>
  <si>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</si>
  <si>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</si>
  <si>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</si>
  <si>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</si>
  <si>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</si>
  <si>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</si>
  <si>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</si>
  <si>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</si>
  <si>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</si>
  <si>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</si>
  <si>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</si>
  <si>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</si>
  <si>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</si>
  <si>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</si>
  <si>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</si>
  <si>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</si>
  <si>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</si>
  <si>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</si>
  <si>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</si>
  <si>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</si>
  <si>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</si>
  <si>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</si>
  <si>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</si>
  <si>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</si>
  <si>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</si>
  <si>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</si>
  <si>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</si>
  <si>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</si>
  <si>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</si>
  <si>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</si>
  <si>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</si>
  <si>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</si>
  <si>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</si>
  <si>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</si>
  <si>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</si>
  <si>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</si>
  <si>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</si>
  <si>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</si>
  <si>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</si>
  <si>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</si>
  <si>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</si>
  <si>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</si>
  <si>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</si>
  <si>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</si>
  <si>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</si>
  <si>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</si>
  <si>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</si>
  <si>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</si>
  <si>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</si>
  <si>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</si>
  <si>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</si>
  <si>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</si>
  <si>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</si>
  <si>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</si>
  <si>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</si>
  <si>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</si>
  <si>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</si>
  <si>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</si>
  <si>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</si>
  <si>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</si>
  <si>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</si>
  <si>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</si>
  <si>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</si>
  <si>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</si>
  <si>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</si>
  <si>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</si>
  <si>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</si>
  <si>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</si>
  <si>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</si>
  <si>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</si>
  <si>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</si>
  <si>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</si>
  <si>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</si>
  <si>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</si>
  <si>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</si>
  <si>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</si>
  <si>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</si>
  <si>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</si>
  <si>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</si>
  <si>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</si>
  <si>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</si>
  <si>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</si>
  <si>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</si>
  <si>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</si>
  <si>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</si>
  <si>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</si>
  <si>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</si>
  <si>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</si>
  <si>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</si>
  <si>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</si>
  <si>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</si>
  <si>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</si>
  <si>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</si>
  <si>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</si>
  <si>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</si>
  <si>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</si>
  <si>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</si>
  <si>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</si>
  <si>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</si>
  <si>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</si>
  <si>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</si>
  <si>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</si>
  <si>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</si>
  <si>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</si>
  <si>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</si>
  <si>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</si>
  <si>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</si>
  <si>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</si>
  <si>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</si>
  <si>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</si>
  <si>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</si>
  <si>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</si>
  <si>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</si>
  <si>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</si>
  <si>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</si>
  <si>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</si>
  <si>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</si>
  <si>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</si>
  <si>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</si>
  <si>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</si>
  <si>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</si>
  <si>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</si>
  <si>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</si>
  <si>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</si>
  <si>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</si>
  <si>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</si>
  <si>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</si>
  <si>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</si>
  <si>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</si>
  <si>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</si>
  <si>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</si>
  <si>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</si>
  <si>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</si>
  <si>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</si>
  <si>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</si>
  <si>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</si>
  <si>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</si>
  <si>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</si>
  <si>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</si>
  <si>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</si>
  <si>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</si>
  <si>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</si>
  <si>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</si>
  <si>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</si>
  <si>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</si>
  <si>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</si>
  <si>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</si>
  <si>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</si>
  <si>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</si>
  <si>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</si>
  <si>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</si>
  <si>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</si>
  <si>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</si>
  <si>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</si>
  <si>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</si>
  <si>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</si>
  <si>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</si>
  <si>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</si>
  <si>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</si>
  <si>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</si>
  <si>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</si>
  <si>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</si>
  <si>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</si>
  <si>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</si>
  <si>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</si>
  <si>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</si>
  <si>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</si>
  <si>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</si>
  <si>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</si>
  <si>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</si>
  <si>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</si>
  <si>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</si>
  <si>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</si>
  <si>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</si>
  <si>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</si>
  <si>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</si>
  <si>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</si>
  <si>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</si>
  <si>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</si>
  <si>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</si>
  <si>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</si>
  <si>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</si>
  <si>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</si>
  <si>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</si>
  <si>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</si>
  <si>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</si>
  <si>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</si>
  <si>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</si>
  <si>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</si>
  <si>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</si>
  <si>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</si>
  <si>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</si>
  <si>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</si>
  <si>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</si>
  <si>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</si>
  <si>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</si>
  <si>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</si>
  <si>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</si>
  <si>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</si>
  <si>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</si>
  <si>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</si>
  <si>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</si>
  <si>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</si>
  <si>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</si>
  <si>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</si>
  <si>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</si>
  <si>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</si>
  <si>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</si>
  <si>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</si>
  <si>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</si>
  <si>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</si>
  <si>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</si>
  <si>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</si>
  <si>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</si>
  <si>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</si>
  <si>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</si>
  <si>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</si>
  <si>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</si>
  <si>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</si>
  <si>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</si>
  <si>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</si>
  <si>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</si>
  <si>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</si>
  <si>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</si>
  <si>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</si>
  <si>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</si>
  <si>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</si>
  <si>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</si>
  <si>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</si>
  <si>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</si>
  <si>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</si>
  <si>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</si>
  <si>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</si>
  <si>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</si>
  <si>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</si>
  <si>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</si>
  <si>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</si>
  <si>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</si>
  <si>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</si>
  <si>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</si>
  <si>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</si>
  <si>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</si>
  <si>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</si>
  <si>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</si>
  <si>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</si>
  <si>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</si>
  <si>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</si>
  <si>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</si>
  <si>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</si>
  <si>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</si>
  <si>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</si>
  <si>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</si>
  <si>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</si>
  <si>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</si>
  <si>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</si>
  <si>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</si>
  <si>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</si>
  <si>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</si>
  <si>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</si>
  <si>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</si>
  <si>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</si>
  <si>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</si>
  <si>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</si>
  <si>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</si>
  <si>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</si>
  <si>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</si>
  <si>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</si>
  <si>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</si>
  <si>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</si>
  <si>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</si>
  <si>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</si>
  <si>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</si>
  <si>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</si>
  <si>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</si>
  <si>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</si>
  <si>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</si>
  <si>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</si>
  <si>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</si>
  <si>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</si>
  <si>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</si>
  <si>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</si>
  <si>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</si>
  <si>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</si>
  <si>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</si>
  <si>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</si>
  <si>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</si>
  <si>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</si>
  <si>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</si>
  <si>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</si>
  <si>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</si>
  <si>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</si>
  <si>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</si>
  <si>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</si>
  <si>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</si>
  <si>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</si>
  <si>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</si>
  <si>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</si>
  <si>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</si>
  <si>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</si>
  <si>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</si>
  <si>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</si>
  <si>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</si>
  <si>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</si>
  <si>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</si>
  <si>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</si>
  <si>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</si>
  <si>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</si>
  <si>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</si>
  <si>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</si>
  <si>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</si>
  <si>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</si>
  <si>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</si>
  <si>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</si>
  <si>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</si>
  <si>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</si>
  <si>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</si>
  <si>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</si>
  <si>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</si>
  <si>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</si>
  <si>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</si>
  <si>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</si>
  <si>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</si>
  <si>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</si>
  <si>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</si>
  <si>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</si>
  <si>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</si>
  <si>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</si>
  <si>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</si>
  <si>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</si>
  <si>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</si>
  <si>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</si>
  <si>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</si>
  <si>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</si>
  <si>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</si>
  <si>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</si>
  <si>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</si>
  <si>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</si>
  <si>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</si>
  <si>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</si>
  <si>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</si>
  <si>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</si>
  <si>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</si>
  <si>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</si>
  <si>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</si>
  <si>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</si>
  <si>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</si>
  <si>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</si>
  <si>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</si>
  <si>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</si>
  <si>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</si>
  <si>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</si>
  <si>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</si>
  <si>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</si>
  <si>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</si>
  <si>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</si>
  <si>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</si>
  <si>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</si>
  <si>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</si>
  <si>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</si>
  <si>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</si>
  <si>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</si>
  <si>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</si>
  <si>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</si>
  <si>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</si>
  <si>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</si>
  <si>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</si>
  <si>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</si>
  <si>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</si>
  <si>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</si>
  <si>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</si>
  <si>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</si>
  <si>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</si>
  <si>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</si>
  <si>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</si>
  <si>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</si>
  <si>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</si>
  <si>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</si>
  <si>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</si>
  <si>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</si>
  <si>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</si>
  <si>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</si>
  <si>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</si>
  <si>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</si>
  <si>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</si>
  <si>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</si>
  <si>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</si>
  <si>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</si>
  <si>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</si>
  <si>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</si>
  <si>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</si>
  <si>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</si>
  <si>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</si>
  <si>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</si>
  <si>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</si>
  <si>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</si>
  <si>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</si>
  <si>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</si>
  <si>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</si>
  <si>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</si>
  <si>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</si>
  <si>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</si>
  <si>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</si>
  <si>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</si>
  <si>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</si>
  <si>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</si>
  <si>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</si>
  <si>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</si>
  <si>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</si>
  <si>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</si>
  <si>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</si>
  <si>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</si>
  <si>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</si>
  <si>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</si>
  <si>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</si>
  <si>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</si>
  <si>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</si>
  <si>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</si>
  <si>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</si>
  <si>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</si>
  <si>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</si>
  <si>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</si>
  <si>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</si>
  <si>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</si>
  <si>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</si>
  <si>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</si>
  <si>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</si>
  <si>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</si>
  <si>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</si>
  <si>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</si>
  <si>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</si>
  <si>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</si>
  <si>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</si>
  <si>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</si>
  <si>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</si>
  <si>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</si>
  <si>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</si>
  <si>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</si>
  <si>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</si>
  <si>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</si>
  <si>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</si>
  <si>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</si>
  <si>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</si>
  <si>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</si>
  <si>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</si>
  <si>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</si>
  <si>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</si>
  <si>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</si>
  <si>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</si>
  <si>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</si>
  <si>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</si>
  <si>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</si>
  <si>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</si>
  <si>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</si>
  <si>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</si>
  <si>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</si>
  <si>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</si>
  <si>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</si>
  <si>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</si>
  <si>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</si>
  <si>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</si>
  <si>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</si>
  <si>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</si>
  <si>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</si>
  <si>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</si>
  <si>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</si>
  <si>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</si>
  <si>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</si>
  <si>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</si>
  <si>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</si>
  <si>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</si>
  <si>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</si>
  <si>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</si>
  <si>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</si>
  <si>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</si>
  <si>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</si>
  <si>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</si>
  <si>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</si>
  <si>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</si>
  <si>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</si>
  <si>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</si>
  <si>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</si>
  <si>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</si>
  <si>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</si>
  <si>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</si>
  <si>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</si>
  <si>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</si>
  <si>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</si>
  <si>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</si>
  <si>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</si>
  <si>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</si>
  <si>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</si>
  <si>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</si>
  <si>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</si>
  <si>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</si>
  <si>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</si>
  <si>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</si>
  <si>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</si>
  <si>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</si>
  <si>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</si>
  <si>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</si>
  <si>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</si>
  <si>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</si>
  <si>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</si>
  <si>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</si>
  <si>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</si>
  <si>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</si>
  <si>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</si>
  <si>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</si>
  <si>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</si>
  <si>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</si>
  <si>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</si>
  <si>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</si>
  <si>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</si>
  <si>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</si>
  <si>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</si>
  <si>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</si>
  <si>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</si>
  <si>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</si>
  <si>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</si>
  <si>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</si>
  <si>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</si>
  <si>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</si>
  <si>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</si>
  <si>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</si>
  <si>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</si>
  <si>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</si>
  <si>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</si>
  <si>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</si>
  <si>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</si>
  <si>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</si>
  <si>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</si>
  <si>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</si>
  <si>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</si>
  <si>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</si>
  <si>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</si>
  <si>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</si>
  <si>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</si>
  <si>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</si>
  <si>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</si>
  <si>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</si>
  <si>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</si>
  <si>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</si>
  <si>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</si>
  <si>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</si>
  <si>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</si>
  <si>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</si>
  <si>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</si>
  <si>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</si>
  <si>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</si>
  <si>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</si>
  <si>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</si>
  <si>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</si>
  <si>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</si>
  <si>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</si>
  <si>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</si>
  <si>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</si>
  <si>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</si>
  <si>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</si>
  <si>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</si>
  <si>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</si>
  <si>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</si>
  <si>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</si>
  <si>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</si>
  <si>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</si>
  <si>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</si>
  <si>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</si>
  <si>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</si>
  <si>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</si>
  <si>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</si>
  <si>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</si>
  <si>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</si>
  <si>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</si>
  <si>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</si>
  <si>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</si>
  <si>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</si>
  <si>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</si>
  <si>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</si>
  <si>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</si>
  <si>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</si>
  <si>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</si>
  <si>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</si>
  <si>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</si>
  <si>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</si>
  <si>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</si>
  <si>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</si>
  <si>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</si>
  <si>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</si>
  <si>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</si>
  <si>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</si>
  <si>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</si>
  <si>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</si>
  <si>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</si>
  <si>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</si>
  <si>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</si>
  <si>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</si>
  <si>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</si>
  <si>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</si>
  <si>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</si>
  <si>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</si>
  <si>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</si>
  <si>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</si>
  <si>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</si>
  <si>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</si>
  <si>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</si>
  <si>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</si>
  <si>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</si>
  <si>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</si>
  <si>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</si>
  <si>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</si>
  <si>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</si>
  <si>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</si>
  <si>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</si>
  <si>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</si>
  <si>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</si>
  <si>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</si>
  <si>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</si>
  <si>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</si>
  <si>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</si>
  <si>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</si>
  <si>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</si>
  <si>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</si>
  <si>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</si>
  <si>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</si>
  <si>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</si>
  <si>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</si>
  <si>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</si>
  <si>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</si>
  <si>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</si>
  <si>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</si>
  <si>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</si>
  <si>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</si>
  <si>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</si>
  <si>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</si>
  <si>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</si>
  <si>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</si>
  <si>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</si>
  <si>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</si>
  <si>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</si>
  <si>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</si>
  <si>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</si>
  <si>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</si>
  <si>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</si>
  <si>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</si>
  <si>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</si>
  <si>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</si>
  <si>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</si>
  <si>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</si>
  <si>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</si>
  <si>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</si>
  <si>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</si>
  <si>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</si>
  <si>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</si>
  <si>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</si>
  <si>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</si>
  <si>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</si>
  <si>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</si>
  <si>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</si>
  <si>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</si>
  <si>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</si>
  <si>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</si>
  <si>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</si>
  <si>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</si>
  <si>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</si>
  <si>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</si>
  <si>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</si>
  <si>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</si>
  <si>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</si>
  <si>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</si>
  <si>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</si>
  <si>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</si>
  <si>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</si>
  <si>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</si>
  <si>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</si>
  <si>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</si>
  <si>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</si>
  <si>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</si>
  <si>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</si>
  <si>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</si>
  <si>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</si>
  <si>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</si>
  <si>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</si>
  <si>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</si>
  <si>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</si>
  <si>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</si>
  <si>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</si>
  <si>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</si>
  <si>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</si>
  <si>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</si>
  <si>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</si>
  <si>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</si>
  <si>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</si>
  <si>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</si>
  <si>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</si>
  <si>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</si>
  <si>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</si>
  <si>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</si>
  <si>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</si>
  <si>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</si>
  <si>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</si>
  <si>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</si>
  <si>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</si>
  <si>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</si>
  <si>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</si>
  <si>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</si>
  <si>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</si>
  <si>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</si>
  <si>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</si>
  <si>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</si>
  <si>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</si>
  <si>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</si>
  <si>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</si>
  <si>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</si>
  <si>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</si>
  <si>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</si>
  <si>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</si>
  <si>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</si>
  <si>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</si>
  <si>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</si>
  <si>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</si>
  <si>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</si>
  <si>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</si>
  <si>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</si>
  <si>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</si>
  <si>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</si>
  <si>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</si>
  <si>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</si>
  <si>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</si>
  <si>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</si>
  <si>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</si>
  <si>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</si>
  <si>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</si>
  <si>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</si>
  <si>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</si>
  <si>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</si>
  <si>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</si>
  <si>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</si>
  <si>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</si>
  <si>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</si>
  <si>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</si>
  <si>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</si>
  <si>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</si>
  <si>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</si>
  <si>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6/23/10</t>
  </si>
  <si>
    <t>9/15/26</t>
  </si>
  <si>
    <t>8/15/26</t>
  </si>
  <si>
    <t>7/18/13</t>
  </si>
  <si>
    <t>8/15/13</t>
  </si>
  <si>
    <t>12/2/14</t>
  </si>
  <si>
    <t>11/15/34</t>
  </si>
  <si>
    <t>Various</t>
  </si>
  <si>
    <t>12/3/15_9/8/16</t>
  </si>
  <si>
    <t>6/30/36_9/1/36</t>
  </si>
  <si>
    <t>1-14</t>
  </si>
  <si>
    <t>Salem School District</t>
  </si>
  <si>
    <t xml:space="preserve">In column 5 of J there are two high school bonds combined as we have a total of 6 bonds currently.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</si>
</sst>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&quot;$&quot;#,##0.0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1" fontId="10" fillId="0" borderId="0" xfId="0" quotePrefix="1" applyNumberFormat="1" applyFont="1" applyBorder="1" applyAlignment="1" applyProtection="1">
      <alignment horizontal="right"/>
      <protection locked="0"/>
    </xf>
    <xf numFmtId="168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.2" customHeight="1" x14ac:dyDescent="0.2">
      <c r="A2" s="176" t="s">
        <v>923</v>
      </c>
      <c r="B2" s="21">
        <v>473</v>
      </c>
      <c r="C2" s="21">
        <v>473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.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.2" customHeight="1" x14ac:dyDescent="0.15">
      <c r="A4" s="1" t="s">
        <v>278</v>
      </c>
      <c r="K4" s="13"/>
      <c r="L4" s="13"/>
    </row>
    <row r="5" spans="1:14" s="3" customFormat="1" ht="12.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.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.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1942591.02</v>
      </c>
      <c r="G9" s="18">
        <v>6102.46</v>
      </c>
      <c r="H9" s="18"/>
      <c r="I9" s="18">
        <f>22000113.45-1648339.95</f>
        <v>20351773.5</v>
      </c>
      <c r="J9" s="67">
        <f>SUM(I439)</f>
        <v>0</v>
      </c>
      <c r="K9" s="24" t="s">
        <v>288</v>
      </c>
      <c r="L9" s="24" t="s">
        <v>288</v>
      </c>
      <c r="M9" s="8"/>
      <c r="N9" s="271"/>
    </row>
    <row r="10" spans="1:14" s="3" customFormat="1" ht="12.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176923.22999999998</v>
      </c>
      <c r="K10" s="24" t="s">
        <v>288</v>
      </c>
      <c r="L10" s="24" t="s">
        <v>288</v>
      </c>
      <c r="M10" s="8"/>
      <c r="N10" s="271"/>
    </row>
    <row r="11" spans="1:14" s="3" customFormat="1" ht="12.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1"/>
    </row>
    <row r="12" spans="1:14" s="3" customFormat="1" ht="12.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H22</f>
        <v>309793.83</v>
      </c>
      <c r="G12" s="18">
        <f>86212.17-1500</f>
        <v>84712.17</v>
      </c>
      <c r="H12" s="18">
        <v>140123.62</v>
      </c>
      <c r="I12" s="18"/>
      <c r="J12" s="67">
        <f>SUM(I441)</f>
        <v>11957.5</v>
      </c>
      <c r="K12" s="24" t="s">
        <v>288</v>
      </c>
      <c r="L12" s="24" t="s">
        <v>288</v>
      </c>
      <c r="M12" s="8"/>
      <c r="N12" s="271"/>
    </row>
    <row r="13" spans="1:14" s="3" customFormat="1" ht="12.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f>137326.9+657.77+15786.48</f>
        <v>153771.15</v>
      </c>
      <c r="G13" s="18">
        <v>21905.69</v>
      </c>
      <c r="H13" s="18">
        <v>395769.59</v>
      </c>
      <c r="I13" s="18">
        <v>306259.88</v>
      </c>
      <c r="J13" s="67">
        <f>SUM(I442)</f>
        <v>9677.9500000000007</v>
      </c>
      <c r="K13" s="24" t="s">
        <v>288</v>
      </c>
      <c r="L13" s="24" t="s">
        <v>288</v>
      </c>
      <c r="M13" s="8"/>
      <c r="N13" s="271"/>
    </row>
    <row r="14" spans="1:14" s="3" customFormat="1" ht="12.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38421.879999999997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1"/>
    </row>
    <row r="15" spans="1:14" s="3" customFormat="1" ht="12.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1"/>
    </row>
    <row r="16" spans="1:14" s="3" customFormat="1" ht="12.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1"/>
    </row>
    <row r="17" spans="1:14" s="3" customFormat="1" ht="12.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1"/>
    </row>
    <row r="18" spans="1:14" s="3" customFormat="1" ht="12.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1"/>
    </row>
    <row r="19" spans="1:14" s="3" customFormat="1" ht="12.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2444577.88</v>
      </c>
      <c r="G19" s="41">
        <f>SUM(G9:G18)</f>
        <v>112720.32000000001</v>
      </c>
      <c r="H19" s="41">
        <f>SUM(H9:H18)</f>
        <v>535893.21</v>
      </c>
      <c r="I19" s="41">
        <f>SUM(I9:I18)</f>
        <v>20658033.379999999</v>
      </c>
      <c r="J19" s="41">
        <f>SUM(J9:J18)</f>
        <v>198558.68</v>
      </c>
      <c r="K19" s="45" t="s">
        <v>288</v>
      </c>
      <c r="L19" s="45" t="s">
        <v>288</v>
      </c>
      <c r="M19" s="8"/>
      <c r="N19" s="271"/>
    </row>
    <row r="20" spans="1:14" s="3" customFormat="1" ht="12.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.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1"/>
    </row>
    <row r="22" spans="1:14" s="3" customFormat="1" ht="12.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f>G12+H12</f>
        <v>224835.78999999998</v>
      </c>
      <c r="G22" s="18"/>
      <c r="H22" s="18">
        <f>367034.09-H24-H29</f>
        <v>309793.83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1"/>
    </row>
    <row r="23" spans="1:14" s="3" customFormat="1" ht="12.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1"/>
    </row>
    <row r="24" spans="1:14" s="3" customFormat="1" ht="12.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125954.86</v>
      </c>
      <c r="G24" s="18">
        <v>773.61</v>
      </c>
      <c r="H24" s="18">
        <v>902.24</v>
      </c>
      <c r="I24" s="18">
        <f>39171257.99-39141300.19</f>
        <v>29957.80000000447</v>
      </c>
      <c r="J24" s="67">
        <f>SUM(I450)</f>
        <v>0</v>
      </c>
      <c r="K24" s="24" t="s">
        <v>288</v>
      </c>
      <c r="L24" s="24" t="s">
        <v>288</v>
      </c>
      <c r="M24" s="8"/>
      <c r="N24" s="271"/>
    </row>
    <row r="25" spans="1:14" s="3" customFormat="1" ht="12.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1"/>
    </row>
    <row r="26" spans="1:14" s="3" customFormat="1" ht="12.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1"/>
    </row>
    <row r="27" spans="1:14" s="3" customFormat="1" ht="12.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1"/>
    </row>
    <row r="28" spans="1:14" s="3" customFormat="1" ht="12.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1"/>
    </row>
    <row r="29" spans="1:14" s="3" customFormat="1" ht="12.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147980.85</v>
      </c>
      <c r="G29" s="18">
        <v>3831.08</v>
      </c>
      <c r="H29" s="18">
        <v>56338.02</v>
      </c>
      <c r="I29" s="18"/>
      <c r="J29" s="24" t="s">
        <v>288</v>
      </c>
      <c r="K29" s="24" t="s">
        <v>288</v>
      </c>
      <c r="L29" s="24" t="s">
        <v>288</v>
      </c>
      <c r="M29" s="8"/>
      <c r="N29" s="271"/>
    </row>
    <row r="30" spans="1:14" s="3" customFormat="1" ht="12.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1"/>
    </row>
    <row r="31" spans="1:14" s="3" customFormat="1" ht="12.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1"/>
    </row>
    <row r="32" spans="1:14" s="3" customFormat="1" ht="12.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498771.5</v>
      </c>
      <c r="G32" s="41">
        <f>SUM(G22:G31)</f>
        <v>4604.6899999999996</v>
      </c>
      <c r="H32" s="41">
        <f>SUM(H22:H31)</f>
        <v>367034.09</v>
      </c>
      <c r="I32" s="41">
        <f>SUM(I22:I31)</f>
        <v>29957.80000000447</v>
      </c>
      <c r="J32" s="41">
        <f>SUM(J22:J31)</f>
        <v>0</v>
      </c>
      <c r="K32" s="45" t="s">
        <v>288</v>
      </c>
      <c r="L32" s="45" t="s">
        <v>288</v>
      </c>
      <c r="M32" s="8"/>
      <c r="N32" s="271"/>
    </row>
    <row r="33" spans="1:14" s="3" customFormat="1" ht="12.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1"/>
    </row>
    <row r="34" spans="1:14" s="3" customFormat="1" ht="12.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1"/>
    </row>
    <row r="35" spans="1:14" s="3" customFormat="1" ht="12.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1"/>
    </row>
    <row r="36" spans="1:14" s="3" customFormat="1" ht="12.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1"/>
    </row>
    <row r="37" spans="1:14" s="3" customFormat="1" ht="12.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1"/>
    </row>
    <row r="38" spans="1:14" s="3" customFormat="1" ht="12.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1"/>
    </row>
    <row r="39" spans="1:14" s="3" customFormat="1" ht="12.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1"/>
    </row>
    <row r="40" spans="1:14" s="3" customFormat="1" ht="12.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1"/>
    </row>
    <row r="41" spans="1:14" s="3" customFormat="1" ht="12.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1"/>
    </row>
    <row r="42" spans="1:14" s="3" customFormat="1" ht="12.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1"/>
    </row>
    <row r="43" spans="1:14" s="3" customFormat="1" ht="12.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1"/>
    </row>
    <row r="44" spans="1:14" s="3" customFormat="1" ht="12.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1"/>
    </row>
    <row r="45" spans="1:14" s="3" customFormat="1" ht="12.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1"/>
    </row>
    <row r="46" spans="1:14" s="3" customFormat="1" ht="12.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589525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1"/>
    </row>
    <row r="47" spans="1:14" s="3" customFormat="1" ht="12.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1"/>
    </row>
    <row r="48" spans="1:14" s="3" customFormat="1" ht="12.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220235.06</v>
      </c>
      <c r="G48" s="18">
        <f>G19-G32-G49</f>
        <v>100035.63</v>
      </c>
      <c r="H48" s="18">
        <f>167489.12+1370</f>
        <v>168859.12</v>
      </c>
      <c r="I48" s="18">
        <f>I19-I32-I49</f>
        <v>20439632.739999995</v>
      </c>
      <c r="J48" s="13">
        <f>SUM(I459)</f>
        <v>198558.68</v>
      </c>
      <c r="K48" s="24" t="s">
        <v>288</v>
      </c>
      <c r="L48" s="24" t="s">
        <v>288</v>
      </c>
      <c r="M48" s="8"/>
      <c r="N48" s="271"/>
    </row>
    <row r="49" spans="1:14" s="3" customFormat="1" ht="12.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f>124782.17-7686</f>
        <v>117096.17</v>
      </c>
      <c r="G49" s="18">
        <v>8080</v>
      </c>
      <c r="H49" s="18"/>
      <c r="I49" s="18">
        <v>188442.84</v>
      </c>
      <c r="J49" s="13">
        <f>I454</f>
        <v>0</v>
      </c>
      <c r="K49" s="24"/>
      <c r="L49" s="24"/>
      <c r="M49" s="8"/>
      <c r="N49" s="271"/>
    </row>
    <row r="50" spans="1:14" s="3" customFormat="1" ht="12.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F19-F32-F46-F48-F49</f>
        <v>1018950.1499999998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1"/>
    </row>
    <row r="51" spans="1:14" ht="12.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1945806.38</v>
      </c>
      <c r="G51" s="41">
        <f>SUM(G35:G50)</f>
        <v>108115.63</v>
      </c>
      <c r="H51" s="41">
        <f>SUM(H35:H50)</f>
        <v>168859.12</v>
      </c>
      <c r="I51" s="41">
        <f>SUM(I35:I50)</f>
        <v>20628075.579999994</v>
      </c>
      <c r="J51" s="41">
        <f>SUM(J35:J50)</f>
        <v>198558.68</v>
      </c>
      <c r="K51" s="45" t="s">
        <v>288</v>
      </c>
      <c r="L51" s="45" t="s">
        <v>288</v>
      </c>
      <c r="N51" s="269"/>
    </row>
    <row r="52" spans="1:14" s="3" customFormat="1" ht="12.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2444577.88</v>
      </c>
      <c r="G52" s="41">
        <f>G51+G32</f>
        <v>112720.32000000001</v>
      </c>
      <c r="H52" s="41">
        <f>H51+H32</f>
        <v>535893.21</v>
      </c>
      <c r="I52" s="41">
        <f>I51+I32</f>
        <v>20658033.379999999</v>
      </c>
      <c r="J52" s="41">
        <f>J51+J32</f>
        <v>198558.68</v>
      </c>
      <c r="K52" s="45" t="s">
        <v>288</v>
      </c>
      <c r="L52" s="45" t="s">
        <v>288</v>
      </c>
      <c r="M52" s="8"/>
      <c r="N52" s="271"/>
    </row>
    <row r="53" spans="1:14" s="3" customFormat="1" ht="12.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1"/>
    </row>
    <row r="54" spans="1:14" s="3" customFormat="1" ht="12.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1"/>
    </row>
    <row r="55" spans="1:14" s="3" customFormat="1" ht="12.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1"/>
    </row>
    <row r="56" spans="1:14" s="3" customFormat="1" ht="12.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1"/>
    </row>
    <row r="57" spans="1:14" s="3" customFormat="1" ht="12.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56082357-10301041</f>
        <v>45781316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1"/>
    </row>
    <row r="58" spans="1:14" s="3" customFormat="1" ht="12.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1"/>
    </row>
    <row r="59" spans="1:14" s="27" customFormat="1" ht="12.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2"/>
    </row>
    <row r="60" spans="1:14" s="27" customFormat="1" ht="12.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45781316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2"/>
    </row>
    <row r="61" spans="1:14" s="3" customFormat="1" ht="12.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1"/>
    </row>
    <row r="62" spans="1:14" s="3" customFormat="1" ht="12.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1"/>
    </row>
    <row r="63" spans="1:14" s="3" customFormat="1" ht="12.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415081.33+2195</f>
        <v>417276.33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1"/>
    </row>
    <row r="64" spans="1:14" s="3" customFormat="1" ht="12.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40879.5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1"/>
    </row>
    <row r="65" spans="1:14" s="27" customFormat="1" ht="12.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2"/>
    </row>
    <row r="66" spans="1:14" s="3" customFormat="1" ht="12.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48760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1"/>
    </row>
    <row r="67" spans="1:14" s="3" customFormat="1" ht="12.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1"/>
    </row>
    <row r="68" spans="1:14" s="3" customFormat="1" ht="12.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62912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1"/>
    </row>
    <row r="69" spans="1:14" s="3" customFormat="1" ht="12.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16687.150000000001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1"/>
    </row>
    <row r="70" spans="1:14" s="3" customFormat="1" ht="12.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f>49332.74+30257.42+657.77+15786.48</f>
        <v>96034.41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1"/>
    </row>
    <row r="71" spans="1:14" s="3" customFormat="1" ht="12.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1"/>
    </row>
    <row r="72" spans="1:14" s="3" customFormat="1" ht="12.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1"/>
    </row>
    <row r="73" spans="1:14" s="3" customFormat="1" ht="12.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1"/>
    </row>
    <row r="74" spans="1:14" s="3" customFormat="1" ht="12.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1"/>
    </row>
    <row r="75" spans="1:14" s="3" customFormat="1" ht="12.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1"/>
    </row>
    <row r="76" spans="1:14" s="3" customFormat="1" ht="12.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1"/>
    </row>
    <row r="77" spans="1:14" s="3" customFormat="1" ht="12.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1"/>
    </row>
    <row r="78" spans="1:14" ht="12.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f>37255.98</f>
        <v>37255.980000000003</v>
      </c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69"/>
    </row>
    <row r="79" spans="1:14" s="3" customFormat="1" ht="12.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719805.37000000011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1"/>
    </row>
    <row r="80" spans="1:14" s="3" customFormat="1" ht="12.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1"/>
    </row>
    <row r="81" spans="1:14" s="3" customFormat="1" ht="12.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1"/>
    </row>
    <row r="82" spans="1:14" s="3" customFormat="1" ht="12.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1"/>
    </row>
    <row r="83" spans="1:14" s="3" customFormat="1" ht="12.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1"/>
    </row>
    <row r="84" spans="1:14" s="3" customFormat="1" ht="12.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1"/>
    </row>
    <row r="85" spans="1:14" s="3" customFormat="1" ht="12.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1"/>
    </row>
    <row r="86" spans="1:14" s="3" customFormat="1" ht="12.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1"/>
    </row>
    <row r="87" spans="1:14" s="3" customFormat="1" ht="12.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1"/>
    </row>
    <row r="88" spans="1:14" s="3" customFormat="1" ht="12.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1"/>
    </row>
    <row r="89" spans="1:14" s="3" customFormat="1" ht="12.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1"/>
    </row>
    <row r="90" spans="1:14" s="3" customFormat="1" ht="12.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1"/>
    </row>
    <row r="91" spans="1:14" s="3" customFormat="1" ht="12.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1"/>
    </row>
    <row r="92" spans="1:14" s="3" customFormat="1" ht="12.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1"/>
    </row>
    <row r="93" spans="1:14" s="3" customFormat="1" ht="12.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1"/>
    </row>
    <row r="94" spans="1:14" s="3" customFormat="1" ht="12.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1"/>
    </row>
    <row r="95" spans="1:14" s="3" customFormat="1" ht="12.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1"/>
    </row>
    <row r="96" spans="1:14" s="3" customFormat="1" ht="12.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1805.83</v>
      </c>
      <c r="G96" s="18"/>
      <c r="H96" s="18"/>
      <c r="I96" s="18">
        <v>52747.17</v>
      </c>
      <c r="J96" s="18">
        <v>440.07</v>
      </c>
      <c r="K96" s="24" t="s">
        <v>288</v>
      </c>
      <c r="L96" s="24" t="s">
        <v>288</v>
      </c>
      <c r="M96" s="8"/>
      <c r="N96" s="271"/>
    </row>
    <row r="97" spans="1:14" s="3" customFormat="1" ht="12.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1058534.58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1"/>
    </row>
    <row r="98" spans="1:14" s="3" customFormat="1" ht="12.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1"/>
    </row>
    <row r="99" spans="1:14" s="3" customFormat="1" ht="12.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1"/>
    </row>
    <row r="100" spans="1:14" s="3" customFormat="1" ht="12.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1"/>
    </row>
    <row r="101" spans="1:14" s="3" customFormat="1" ht="12.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12597.23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1"/>
    </row>
    <row r="102" spans="1:14" s="3" customFormat="1" ht="12.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f>19820.7+1500</f>
        <v>21320.7</v>
      </c>
      <c r="I102" s="18"/>
      <c r="J102" s="18">
        <v>21635.45</v>
      </c>
      <c r="K102" s="24" t="s">
        <v>288</v>
      </c>
      <c r="L102" s="24" t="s">
        <v>288</v>
      </c>
      <c r="M102" s="8"/>
      <c r="N102" s="271"/>
    </row>
    <row r="103" spans="1:14" s="3" customFormat="1" ht="12.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1"/>
    </row>
    <row r="104" spans="1:14" s="3" customFormat="1" ht="12.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1"/>
    </row>
    <row r="105" spans="1:14" s="3" customFormat="1" ht="12.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1"/>
    </row>
    <row r="106" spans="1:14" s="3" customFormat="1" ht="12.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1"/>
    </row>
    <row r="107" spans="1:14" s="3" customFormat="1" ht="12.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1"/>
    </row>
    <row r="108" spans="1:14" s="3" customFormat="1" ht="12.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1"/>
    </row>
    <row r="109" spans="1:14" s="3" customFormat="1" ht="12.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1"/>
    </row>
    <row r="110" spans="1:14" s="3" customFormat="1" ht="12.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2348.38+145+7933</f>
        <v>10426.380000000001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1"/>
    </row>
    <row r="111" spans="1:14" ht="12.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24829.440000000002</v>
      </c>
      <c r="G111" s="41">
        <f>SUM(G96:G110)</f>
        <v>1058534.58</v>
      </c>
      <c r="H111" s="41">
        <f>SUM(H96:H110)</f>
        <v>21320.7</v>
      </c>
      <c r="I111" s="41">
        <f>SUM(I96:I110)</f>
        <v>52747.17</v>
      </c>
      <c r="J111" s="41">
        <f>SUM(J96:J110)</f>
        <v>22075.52</v>
      </c>
      <c r="K111" s="45" t="s">
        <v>288</v>
      </c>
      <c r="L111" s="45" t="s">
        <v>288</v>
      </c>
      <c r="N111" s="269"/>
    </row>
    <row r="112" spans="1:14" s="3" customFormat="1" ht="12.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46525950.809999995</v>
      </c>
      <c r="G112" s="41">
        <f>G60+G111</f>
        <v>1058534.58</v>
      </c>
      <c r="H112" s="41">
        <f>H60+H79+H94+H111</f>
        <v>21320.7</v>
      </c>
      <c r="I112" s="41">
        <f>I60+I111</f>
        <v>52747.17</v>
      </c>
      <c r="J112" s="41">
        <f>J60+J111</f>
        <v>22075.52</v>
      </c>
      <c r="K112" s="45" t="s">
        <v>288</v>
      </c>
      <c r="L112" s="45" t="s">
        <v>288</v>
      </c>
      <c r="M112" s="8"/>
      <c r="N112" s="271"/>
    </row>
    <row r="113" spans="1:14" s="3" customFormat="1" ht="12.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1"/>
    </row>
    <row r="114" spans="1:14" s="3" customFormat="1" ht="12.2" customHeight="1" x14ac:dyDescent="0.2">
      <c r="A114" s="29" t="s">
        <v>319</v>
      </c>
      <c r="H114" s="23" t="s">
        <v>282</v>
      </c>
      <c r="K114" s="20"/>
      <c r="L114" s="20"/>
      <c r="M114" s="8"/>
      <c r="N114" s="271"/>
    </row>
    <row r="115" spans="1:14" s="3" customFormat="1" ht="12.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1"/>
    </row>
    <row r="116" spans="1:14" s="3" customFormat="1" ht="12.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1"/>
    </row>
    <row r="117" spans="1:14" s="3" customFormat="1" ht="12.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4162664.21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1"/>
    </row>
    <row r="118" spans="1:14" s="3" customFormat="1" ht="12.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10301041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1"/>
    </row>
    <row r="119" spans="1:14" s="3" customFormat="1" ht="12.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1"/>
    </row>
    <row r="120" spans="1:14" s="3" customFormat="1" ht="12.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919.61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1"/>
    </row>
    <row r="121" spans="1:14" s="3" customFormat="1" ht="12.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14464624.82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1"/>
    </row>
    <row r="122" spans="1:14" s="3" customFormat="1" ht="12.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1"/>
    </row>
    <row r="123" spans="1:14" s="3" customFormat="1" ht="12.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401940.86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1"/>
    </row>
    <row r="124" spans="1:14" s="3" customFormat="1" ht="12.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.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1"/>
    </row>
    <row r="126" spans="1:14" s="3" customFormat="1" ht="12.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683308.69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1"/>
    </row>
    <row r="127" spans="1:14" s="3" customFormat="1" ht="12.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217313.92000000001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1"/>
    </row>
    <row r="128" spans="1:14" s="3" customFormat="1" ht="12.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9675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1"/>
    </row>
    <row r="129" spans="1:14" s="3" customFormat="1" ht="12.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1"/>
    </row>
    <row r="130" spans="1:14" s="3" customFormat="1" ht="12.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1"/>
    </row>
    <row r="131" spans="1:14" s="3" customFormat="1" ht="12.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1"/>
    </row>
    <row r="132" spans="1:14" s="3" customFormat="1" ht="12.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12839.36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1"/>
    </row>
    <row r="133" spans="1:14" s="3" customFormat="1" ht="12.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1"/>
    </row>
    <row r="134" spans="1:14" s="3" customFormat="1" ht="12.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.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1"/>
    </row>
    <row r="136" spans="1:14" s="3" customFormat="1" ht="12.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1312238.4699999997</v>
      </c>
      <c r="G136" s="41">
        <f>SUM(G123:G135)</f>
        <v>12839.36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1"/>
    </row>
    <row r="137" spans="1:14" s="3" customFormat="1" ht="12.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1"/>
    </row>
    <row r="138" spans="1:14" s="3" customFormat="1" ht="12.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1"/>
    </row>
    <row r="139" spans="1:14" s="3" customFormat="1" ht="12.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1"/>
    </row>
    <row r="140" spans="1:14" s="3" customFormat="1" ht="12.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15776863.289999999</v>
      </c>
      <c r="G140" s="41">
        <f>G121+SUM(G136:G137)</f>
        <v>12839.36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1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1"/>
    </row>
    <row r="142" spans="1:14" s="3" customFormat="1" ht="12.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1"/>
    </row>
    <row r="143" spans="1:14" s="3" customFormat="1" ht="12.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1"/>
    </row>
    <row r="144" spans="1:14" s="3" customFormat="1" ht="12.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1"/>
    </row>
    <row r="145" spans="1:14" s="3" customFormat="1" ht="12.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31611.57</v>
      </c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1"/>
    </row>
    <row r="146" spans="1:14" s="3" customFormat="1" ht="12.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>
        <f>4056660.82+306259.88</f>
        <v>4362920.7</v>
      </c>
      <c r="J146" s="24" t="s">
        <v>288</v>
      </c>
      <c r="K146" s="24" t="s">
        <v>288</v>
      </c>
      <c r="L146" s="24" t="s">
        <v>288</v>
      </c>
      <c r="M146" s="8"/>
      <c r="N146" s="271"/>
    </row>
    <row r="147" spans="1:14" s="3" customFormat="1" ht="12.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31611.57</v>
      </c>
      <c r="G147" s="41">
        <f>SUM(G145:G146)</f>
        <v>0</v>
      </c>
      <c r="H147" s="41">
        <f>SUM(H145:H146)</f>
        <v>0</v>
      </c>
      <c r="I147" s="41">
        <f>SUM(I145:I146)</f>
        <v>4362920.7</v>
      </c>
      <c r="J147" s="45" t="s">
        <v>288</v>
      </c>
      <c r="K147" s="45" t="s">
        <v>288</v>
      </c>
      <c r="L147" s="45" t="s">
        <v>288</v>
      </c>
      <c r="M147" s="8"/>
      <c r="N147" s="271"/>
    </row>
    <row r="148" spans="1:14" s="3" customFormat="1" ht="12.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1"/>
    </row>
    <row r="149" spans="1:14" s="3" customFormat="1" ht="12.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1"/>
    </row>
    <row r="150" spans="1:14" s="3" customFormat="1" ht="12.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1"/>
    </row>
    <row r="151" spans="1:14" s="3" customFormat="1" ht="12.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1"/>
    </row>
    <row r="152" spans="1:14" s="3" customFormat="1" ht="12.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1"/>
    </row>
    <row r="153" spans="1:14" s="3" customFormat="1" ht="12.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1"/>
    </row>
    <row r="154" spans="1:14" s="3" customFormat="1" ht="12.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498999.43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1"/>
    </row>
    <row r="155" spans="1:14" s="3" customFormat="1" ht="12.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182653.5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1"/>
    </row>
    <row r="156" spans="1:14" s="3" customFormat="1" ht="12.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201515.13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1"/>
    </row>
    <row r="157" spans="1:14" s="3" customFormat="1" ht="12.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149459.79999999999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1"/>
    </row>
    <row r="158" spans="1:14" s="3" customFormat="1" ht="12.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331252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1"/>
    </row>
    <row r="159" spans="1:14" s="3" customFormat="1" ht="12.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781707.77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1"/>
    </row>
    <row r="160" spans="1:14" s="3" customFormat="1" ht="12.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567823.17000000004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1"/>
    </row>
    <row r="161" spans="1:14" s="3" customFormat="1" ht="12.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71515.009999999995</v>
      </c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1"/>
    </row>
    <row r="162" spans="1:14" s="3" customFormat="1" ht="12.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639338.18000000005</v>
      </c>
      <c r="G162" s="41">
        <f>SUM(G150:G161)</f>
        <v>331252</v>
      </c>
      <c r="H162" s="41">
        <f>SUM(H150:H161)</f>
        <v>1814335.63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1"/>
    </row>
    <row r="163" spans="1:14" s="3" customFormat="1" ht="12.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1"/>
    </row>
    <row r="164" spans="1:14" s="3" customFormat="1" ht="12.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1"/>
    </row>
    <row r="165" spans="1:14" s="3" customFormat="1" ht="12.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1"/>
    </row>
    <row r="166" spans="1:14" s="3" customFormat="1" ht="12.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1"/>
    </row>
    <row r="167" spans="1:14" s="3" customFormat="1" ht="12.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1"/>
    </row>
    <row r="168" spans="1:14" s="3" customFormat="1" ht="12.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1"/>
    </row>
    <row r="169" spans="1:14" s="3" customFormat="1" ht="12.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670949.75</v>
      </c>
      <c r="G169" s="41">
        <f>G147+G162+SUM(G163:G168)</f>
        <v>331252</v>
      </c>
      <c r="H169" s="41">
        <f>H147+H162+SUM(H163:H168)</f>
        <v>1814335.63</v>
      </c>
      <c r="I169" s="41">
        <f>I147+I162+SUM(I163:I168)</f>
        <v>4362920.7</v>
      </c>
      <c r="J169" s="45" t="s">
        <v>288</v>
      </c>
      <c r="K169" s="45" t="s">
        <v>288</v>
      </c>
      <c r="L169" s="45" t="s">
        <v>288</v>
      </c>
      <c r="M169" s="8"/>
      <c r="N169" s="271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1"/>
    </row>
    <row r="171" spans="1:14" s="3" customFormat="1" ht="12.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1"/>
    </row>
    <row r="172" spans="1:14" s="3" customFormat="1" ht="12.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1"/>
    </row>
    <row r="173" spans="1:14" s="3" customFormat="1" ht="12.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>
        <v>16818488.18</v>
      </c>
      <c r="J173" s="24" t="s">
        <v>288</v>
      </c>
      <c r="K173" s="24" t="s">
        <v>288</v>
      </c>
      <c r="L173" s="24" t="s">
        <v>288</v>
      </c>
      <c r="M173" s="8"/>
      <c r="N173" s="271"/>
    </row>
    <row r="174" spans="1:14" s="3" customFormat="1" ht="12.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1"/>
    </row>
    <row r="175" spans="1:14" s="3" customFormat="1" ht="12.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1"/>
    </row>
    <row r="176" spans="1:14" s="3" customFormat="1" ht="12.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1"/>
    </row>
    <row r="177" spans="1:14" s="3" customFormat="1" ht="12.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16818488.18</v>
      </c>
      <c r="J177" s="45" t="s">
        <v>288</v>
      </c>
      <c r="K177" s="45" t="s">
        <v>288</v>
      </c>
      <c r="L177" s="45" t="s">
        <v>288</v>
      </c>
      <c r="M177" s="8"/>
      <c r="N177" s="271"/>
    </row>
    <row r="178" spans="1:14" s="3" customFormat="1" ht="12.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1"/>
    </row>
    <row r="179" spans="1:14" s="3" customFormat="1" ht="12.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1"/>
    </row>
    <row r="180" spans="1:14" s="3" customFormat="1" ht="12.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1"/>
    </row>
    <row r="181" spans="1:14" s="3" customFormat="1" ht="12.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20054.95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1"/>
    </row>
    <row r="182" spans="1:14" s="3" customFormat="1" ht="12.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1"/>
    </row>
    <row r="183" spans="1:14" s="3" customFormat="1" ht="12.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20054.95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1"/>
    </row>
    <row r="184" spans="1:14" s="3" customFormat="1" ht="12.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1"/>
    </row>
    <row r="185" spans="1:14" s="3" customFormat="1" ht="12.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1"/>
    </row>
    <row r="186" spans="1:14" s="3" customFormat="1" ht="12.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1"/>
    </row>
    <row r="187" spans="1:14" ht="12.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69"/>
    </row>
    <row r="188" spans="1:14" ht="12.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9"/>
    </row>
    <row r="189" spans="1:14" s="3" customFormat="1" ht="12.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1"/>
    </row>
    <row r="190" spans="1:14" s="3" customFormat="1" ht="12.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1"/>
    </row>
    <row r="191" spans="1:14" s="3" customFormat="1" ht="12.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1"/>
    </row>
    <row r="192" spans="1:14" s="3" customFormat="1" ht="12.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20054.95</v>
      </c>
      <c r="G192" s="41">
        <f>G183+SUM(G188:G191)</f>
        <v>0</v>
      </c>
      <c r="H192" s="41">
        <f>+H183+SUM(H188:H191)</f>
        <v>0</v>
      </c>
      <c r="I192" s="41">
        <f>I177+I183+SUM(I188:I191)</f>
        <v>16818488.18</v>
      </c>
      <c r="J192" s="41">
        <f>J183</f>
        <v>0</v>
      </c>
      <c r="K192" s="45" t="s">
        <v>288</v>
      </c>
      <c r="L192" s="45" t="s">
        <v>288</v>
      </c>
      <c r="M192" s="8"/>
      <c r="N192" s="271"/>
    </row>
    <row r="193" spans="1:14" s="3" customFormat="1" ht="12.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62993818.799999997</v>
      </c>
      <c r="G193" s="47">
        <f>G112+G140+G169+G192</f>
        <v>1402625.9400000002</v>
      </c>
      <c r="H193" s="47">
        <f>H112+H140+H169+H192</f>
        <v>1835656.3299999998</v>
      </c>
      <c r="I193" s="47">
        <f>I112+I140+I169+I192</f>
        <v>21234156.050000001</v>
      </c>
      <c r="J193" s="47">
        <f>J112+J140+J192</f>
        <v>22075.52</v>
      </c>
      <c r="K193" s="45" t="s">
        <v>288</v>
      </c>
      <c r="L193" s="45" t="s">
        <v>288</v>
      </c>
      <c r="M193" s="8"/>
      <c r="N193" s="271"/>
    </row>
    <row r="194" spans="1:14" s="3" customFormat="1" ht="12.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1"/>
    </row>
    <row r="195" spans="1:14" s="3" customFormat="1" ht="12.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.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1"/>
    </row>
    <row r="197" spans="1:14" s="3" customFormat="1" ht="12.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7062231.79-0.005</f>
        <v>7062231.7850000001</v>
      </c>
      <c r="G197" s="18">
        <f>3069913.64-0.005+160786.24</f>
        <v>3230699.875</v>
      </c>
      <c r="H197" s="18">
        <v>8411.33</v>
      </c>
      <c r="I197" s="18">
        <f>214517.47</f>
        <v>214517.47</v>
      </c>
      <c r="J197" s="18">
        <v>35409.01</v>
      </c>
      <c r="K197" s="18">
        <v>127.5</v>
      </c>
      <c r="L197" s="19">
        <f>SUM(F197:K197)</f>
        <v>10551396.970000001</v>
      </c>
      <c r="M197" s="8"/>
      <c r="N197" s="271"/>
    </row>
    <row r="198" spans="1:14" s="3" customFormat="1" ht="12.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2651213.32-0.005</f>
        <v>2651213.3149999999</v>
      </c>
      <c r="G198" s="18">
        <f>907628.81-0.005</f>
        <v>907628.80500000005</v>
      </c>
      <c r="H198" s="18">
        <v>239240.28</v>
      </c>
      <c r="I198" s="18">
        <v>19186.07</v>
      </c>
      <c r="J198" s="18">
        <v>6236.59</v>
      </c>
      <c r="K198" s="18">
        <v>611.30999999999995</v>
      </c>
      <c r="L198" s="19">
        <f>SUM(F198:K198)</f>
        <v>3824116.3699999996</v>
      </c>
      <c r="M198" s="8"/>
      <c r="N198" s="271"/>
    </row>
    <row r="199" spans="1:14" s="3" customFormat="1" ht="12.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.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16000.08</v>
      </c>
      <c r="G200" s="18">
        <v>3857.72</v>
      </c>
      <c r="H200" s="18"/>
      <c r="I200" s="18">
        <v>2722.57</v>
      </c>
      <c r="J200" s="18"/>
      <c r="K200" s="18"/>
      <c r="L200" s="19">
        <f>SUM(F200:K200)</f>
        <v>22580.37</v>
      </c>
      <c r="M200" s="8"/>
      <c r="N200" s="271"/>
    </row>
    <row r="201" spans="1:14" s="3" customFormat="1" ht="12.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1"/>
    </row>
    <row r="202" spans="1:14" s="3" customFormat="1" ht="12.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1517059.94</v>
      </c>
      <c r="G202" s="18">
        <v>723025.28</v>
      </c>
      <c r="H202" s="18">
        <v>242065.16</v>
      </c>
      <c r="I202" s="18">
        <f>27541.26</f>
        <v>27541.26</v>
      </c>
      <c r="J202" s="18"/>
      <c r="K202" s="18"/>
      <c r="L202" s="19">
        <f t="shared" ref="L202:L208" si="0">SUM(F202:K202)</f>
        <v>2509691.6399999997</v>
      </c>
      <c r="M202" s="8"/>
      <c r="N202" s="271"/>
    </row>
    <row r="203" spans="1:14" s="3" customFormat="1" ht="12.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453672.64</v>
      </c>
      <c r="G203" s="18">
        <v>156611.72</v>
      </c>
      <c r="H203" s="18">
        <v>70519.740000000005</v>
      </c>
      <c r="I203" s="18">
        <v>101168.32000000001</v>
      </c>
      <c r="J203" s="18">
        <v>128126.53</v>
      </c>
      <c r="K203" s="18"/>
      <c r="L203" s="19">
        <f t="shared" si="0"/>
        <v>910098.95</v>
      </c>
      <c r="M203" s="8"/>
      <c r="N203" s="271"/>
    </row>
    <row r="204" spans="1:14" s="3" customFormat="1" ht="12.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222765.65</v>
      </c>
      <c r="G204" s="18">
        <v>106479.71</v>
      </c>
      <c r="H204" s="18">
        <v>64549.87</v>
      </c>
      <c r="I204" s="18">
        <v>5957.86</v>
      </c>
      <c r="J204" s="18"/>
      <c r="K204" s="18">
        <v>4808.2700000000004</v>
      </c>
      <c r="L204" s="19">
        <f t="shared" si="0"/>
        <v>404561.36</v>
      </c>
      <c r="M204" s="8"/>
      <c r="N204" s="271"/>
    </row>
    <row r="205" spans="1:14" s="3" customFormat="1" ht="12.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649900.28</v>
      </c>
      <c r="G205" s="18">
        <v>322122.88</v>
      </c>
      <c r="H205" s="18">
        <v>112013.39</v>
      </c>
      <c r="I205" s="18">
        <v>7466.82</v>
      </c>
      <c r="J205" s="18"/>
      <c r="K205" s="18">
        <v>2076</v>
      </c>
      <c r="L205" s="19">
        <f t="shared" si="0"/>
        <v>1093579.3700000001</v>
      </c>
      <c r="M205" s="8"/>
      <c r="N205" s="271"/>
    </row>
    <row r="206" spans="1:14" s="3" customFormat="1" ht="12.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136654.25</v>
      </c>
      <c r="G206" s="18">
        <v>74448.570000000007</v>
      </c>
      <c r="H206" s="18">
        <v>6827.29</v>
      </c>
      <c r="I206" s="18">
        <v>20424.61</v>
      </c>
      <c r="J206" s="18"/>
      <c r="K206" s="18"/>
      <c r="L206" s="19">
        <f t="shared" si="0"/>
        <v>238354.72000000003</v>
      </c>
      <c r="M206" s="8"/>
      <c r="N206" s="271"/>
    </row>
    <row r="207" spans="1:14" s="3" customFormat="1" ht="12.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543938.25</v>
      </c>
      <c r="G207" s="18">
        <v>266906.62</v>
      </c>
      <c r="H207" s="18">
        <v>347639.95</v>
      </c>
      <c r="I207" s="18">
        <v>425662.04</v>
      </c>
      <c r="J207" s="18">
        <v>10036.049999999999</v>
      </c>
      <c r="K207" s="18"/>
      <c r="L207" s="19">
        <f t="shared" si="0"/>
        <v>1594182.9100000001</v>
      </c>
      <c r="M207" s="8"/>
      <c r="N207" s="271"/>
    </row>
    <row r="208" spans="1:14" s="3" customFormat="1" ht="12.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1129571.9099999999</v>
      </c>
      <c r="I208" s="18"/>
      <c r="J208" s="18"/>
      <c r="K208" s="18"/>
      <c r="L208" s="19">
        <f t="shared" si="0"/>
        <v>1129571.9099999999</v>
      </c>
      <c r="M208" s="8"/>
      <c r="N208" s="271"/>
    </row>
    <row r="209" spans="1:14" s="3" customFormat="1" ht="12.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21381.54</v>
      </c>
      <c r="G209" s="18">
        <v>5445.09</v>
      </c>
      <c r="H209" s="18">
        <v>38711.86</v>
      </c>
      <c r="I209" s="18">
        <v>7209.27</v>
      </c>
      <c r="J209" s="18"/>
      <c r="K209" s="18"/>
      <c r="L209" s="19">
        <f>SUM(F209:K209)</f>
        <v>72747.760000000009</v>
      </c>
      <c r="M209" s="8"/>
      <c r="N209" s="271"/>
    </row>
    <row r="210" spans="1:14" s="3" customFormat="1" ht="12.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1"/>
    </row>
    <row r="211" spans="1:14" s="3" customFormat="1" ht="12.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13274817.729999999</v>
      </c>
      <c r="G211" s="41">
        <f t="shared" si="1"/>
        <v>5797226.2700000005</v>
      </c>
      <c r="H211" s="41">
        <f t="shared" si="1"/>
        <v>2259550.7799999998</v>
      </c>
      <c r="I211" s="41">
        <f t="shared" si="1"/>
        <v>831856.29</v>
      </c>
      <c r="J211" s="41">
        <f t="shared" si="1"/>
        <v>179808.18</v>
      </c>
      <c r="K211" s="41">
        <f t="shared" si="1"/>
        <v>7623.08</v>
      </c>
      <c r="L211" s="41">
        <f t="shared" si="1"/>
        <v>22350882.329999998</v>
      </c>
      <c r="M211" s="8"/>
      <c r="N211" s="271"/>
    </row>
    <row r="212" spans="1:14" s="3" customFormat="1" ht="12.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1"/>
    </row>
    <row r="213" spans="1:14" s="3" customFormat="1" ht="12.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.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1"/>
    </row>
    <row r="215" spans="1:14" s="3" customFormat="1" ht="12.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3834678.07</v>
      </c>
      <c r="G215" s="18">
        <f>1714218.57+93980.69</f>
        <v>1808199.26</v>
      </c>
      <c r="H215" s="18">
        <v>487.04</v>
      </c>
      <c r="I215" s="18">
        <v>89374.2</v>
      </c>
      <c r="J215" s="18">
        <v>11836.57</v>
      </c>
      <c r="K215" s="18"/>
      <c r="L215" s="19">
        <f>SUM(F215:K215)</f>
        <v>5744575.1400000006</v>
      </c>
      <c r="M215" s="8"/>
      <c r="N215" s="271"/>
    </row>
    <row r="216" spans="1:14" s="3" customFormat="1" ht="12.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1246824.06-0.005</f>
        <v>1246824.0550000002</v>
      </c>
      <c r="G216" s="18">
        <f>519066.6-0.005</f>
        <v>519066.59499999997</v>
      </c>
      <c r="H216" s="18">
        <v>303197.86</v>
      </c>
      <c r="I216" s="18">
        <v>4475.47</v>
      </c>
      <c r="J216" s="18"/>
      <c r="K216" s="18">
        <v>357.32</v>
      </c>
      <c r="L216" s="19">
        <f>SUM(F216:K216)</f>
        <v>2073921.3000000003</v>
      </c>
      <c r="M216" s="8"/>
      <c r="N216" s="271"/>
    </row>
    <row r="217" spans="1:14" s="3" customFormat="1" ht="12.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.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60495.81</v>
      </c>
      <c r="G218" s="18">
        <v>18951.38</v>
      </c>
      <c r="H218" s="18">
        <v>6605</v>
      </c>
      <c r="I218" s="18">
        <v>7192.85</v>
      </c>
      <c r="J218" s="18"/>
      <c r="K218" s="18">
        <v>1970</v>
      </c>
      <c r="L218" s="19">
        <f>SUM(F218:K218)</f>
        <v>95215.040000000008</v>
      </c>
      <c r="M218" s="8"/>
      <c r="N218" s="271"/>
    </row>
    <row r="219" spans="1:14" s="3" customFormat="1" ht="12.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1"/>
    </row>
    <row r="220" spans="1:14" s="3" customFormat="1" ht="12.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388500.41</v>
      </c>
      <c r="G220" s="18">
        <v>150582.85999999999</v>
      </c>
      <c r="H220" s="18">
        <v>100906.18</v>
      </c>
      <c r="I220" s="18">
        <v>9521.91</v>
      </c>
      <c r="J220" s="18"/>
      <c r="K220" s="18"/>
      <c r="L220" s="19">
        <f t="shared" ref="L220:L226" si="2">SUM(F220:K220)</f>
        <v>649511.36</v>
      </c>
      <c r="M220" s="8"/>
      <c r="N220" s="271"/>
    </row>
    <row r="221" spans="1:14" s="3" customFormat="1" ht="12.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309017.34000000003</v>
      </c>
      <c r="G221" s="18">
        <v>110428.39</v>
      </c>
      <c r="H221" s="18">
        <v>41219.279999999999</v>
      </c>
      <c r="I221" s="18">
        <v>48142.19</v>
      </c>
      <c r="J221" s="18">
        <v>74890.86</v>
      </c>
      <c r="K221" s="18"/>
      <c r="L221" s="19">
        <f t="shared" si="2"/>
        <v>583698.06000000006</v>
      </c>
      <c r="M221" s="8"/>
      <c r="N221" s="271"/>
    </row>
    <row r="222" spans="1:14" s="3" customFormat="1" ht="12.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130208.09</v>
      </c>
      <c r="G222" s="18">
        <v>62238.14</v>
      </c>
      <c r="H222" s="18">
        <v>37729.85</v>
      </c>
      <c r="I222" s="18">
        <v>3482.41</v>
      </c>
      <c r="J222" s="18"/>
      <c r="K222" s="18">
        <v>2810.47</v>
      </c>
      <c r="L222" s="19">
        <f t="shared" si="2"/>
        <v>236468.96</v>
      </c>
      <c r="M222" s="8"/>
      <c r="N222" s="271"/>
    </row>
    <row r="223" spans="1:14" s="3" customFormat="1" ht="12.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391816.26</v>
      </c>
      <c r="G223" s="18">
        <v>214192.06</v>
      </c>
      <c r="H223" s="18">
        <v>67126.28</v>
      </c>
      <c r="I223" s="18">
        <v>4274.8100000000004</v>
      </c>
      <c r="J223" s="18"/>
      <c r="K223" s="18">
        <v>489</v>
      </c>
      <c r="L223" s="19">
        <f t="shared" si="2"/>
        <v>677898.41000000015</v>
      </c>
      <c r="M223" s="8"/>
      <c r="N223" s="271"/>
    </row>
    <row r="224" spans="1:14" s="3" customFormat="1" ht="12.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79875.37</v>
      </c>
      <c r="G224" s="18">
        <v>43515.71</v>
      </c>
      <c r="H224" s="18">
        <v>3990.6</v>
      </c>
      <c r="I224" s="18"/>
      <c r="J224" s="18"/>
      <c r="K224" s="18"/>
      <c r="L224" s="19">
        <f t="shared" si="2"/>
        <v>127381.68</v>
      </c>
      <c r="M224" s="8"/>
      <c r="N224" s="271"/>
    </row>
    <row r="225" spans="1:14" s="3" customFormat="1" ht="12.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281408.58+0.004</f>
        <v>281408.58400000003</v>
      </c>
      <c r="G225" s="18">
        <f>146919.16+0.004</f>
        <v>146919.16399999999</v>
      </c>
      <c r="H225" s="18">
        <v>196851.18</v>
      </c>
      <c r="I225" s="18">
        <v>166483.76</v>
      </c>
      <c r="J225" s="18">
        <v>5866.14</v>
      </c>
      <c r="K225" s="18"/>
      <c r="L225" s="19">
        <f t="shared" si="2"/>
        <v>797528.8280000001</v>
      </c>
      <c r="M225" s="8"/>
      <c r="N225" s="271"/>
    </row>
    <row r="226" spans="1:14" s="3" customFormat="1" ht="12.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670223.81000000006</v>
      </c>
      <c r="I226" s="18"/>
      <c r="J226" s="18"/>
      <c r="K226" s="18"/>
      <c r="L226" s="19">
        <f t="shared" si="2"/>
        <v>670223.81000000006</v>
      </c>
      <c r="M226" s="8"/>
      <c r="N226" s="271"/>
    </row>
    <row r="227" spans="1:14" s="3" customFormat="1" ht="12.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12497.66</v>
      </c>
      <c r="G227" s="18">
        <v>3182.69</v>
      </c>
      <c r="H227" s="18">
        <v>22627.360000000001</v>
      </c>
      <c r="I227" s="18">
        <v>4213.87</v>
      </c>
      <c r="J227" s="18"/>
      <c r="K227" s="18"/>
      <c r="L227" s="19">
        <f>SUM(F227:K227)</f>
        <v>42521.58</v>
      </c>
      <c r="M227" s="8"/>
      <c r="N227" s="271"/>
    </row>
    <row r="228" spans="1:14" s="3" customFormat="1" ht="12.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1"/>
    </row>
    <row r="229" spans="1:14" s="3" customFormat="1" ht="12.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6735321.6489999993</v>
      </c>
      <c r="G229" s="41">
        <f>SUM(G215:G228)</f>
        <v>3077276.2489999998</v>
      </c>
      <c r="H229" s="41">
        <f>SUM(H215:H228)</f>
        <v>1450964.4400000002</v>
      </c>
      <c r="I229" s="41">
        <f>SUM(I215:I228)</f>
        <v>337161.47</v>
      </c>
      <c r="J229" s="41">
        <f>SUM(J215:J228)</f>
        <v>92593.569999999992</v>
      </c>
      <c r="K229" s="41">
        <f t="shared" si="3"/>
        <v>5626.79</v>
      </c>
      <c r="L229" s="41">
        <f t="shared" si="3"/>
        <v>11698944.168000003</v>
      </c>
      <c r="M229" s="8"/>
      <c r="N229" s="271"/>
    </row>
    <row r="230" spans="1:14" s="3" customFormat="1" ht="12.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1"/>
    </row>
    <row r="231" spans="1:14" s="3" customFormat="1" ht="12.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.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1"/>
    </row>
    <row r="233" spans="1:14" s="3" customFormat="1" ht="12.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5965513.06-0.005</f>
        <v>5965513.0549999997</v>
      </c>
      <c r="G233" s="18">
        <f>2690179.76-0.005+122665.56</f>
        <v>2812845.3149999999</v>
      </c>
      <c r="H233" s="18">
        <v>23361.93</v>
      </c>
      <c r="I233" s="18">
        <v>154261.73000000001</v>
      </c>
      <c r="J233" s="18">
        <v>28183.18</v>
      </c>
      <c r="K233" s="18"/>
      <c r="L233" s="19">
        <f>SUM(F233:K233)</f>
        <v>8984165.209999999</v>
      </c>
      <c r="M233" s="8"/>
      <c r="N233" s="271"/>
    </row>
    <row r="234" spans="1:14" s="3" customFormat="1" ht="12.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1360135.75-0.005</f>
        <v>1360135.7450000001</v>
      </c>
      <c r="G234" s="18">
        <f>585235.77-0.005</f>
        <v>585235.76500000001</v>
      </c>
      <c r="H234" s="18">
        <v>1844413.24</v>
      </c>
      <c r="I234" s="18">
        <v>7346.78</v>
      </c>
      <c r="J234" s="18"/>
      <c r="K234" s="18">
        <v>466.38</v>
      </c>
      <c r="L234" s="19">
        <f>SUM(F234:K234)</f>
        <v>3797597.9099999997</v>
      </c>
      <c r="M234" s="8"/>
      <c r="N234" s="271"/>
    </row>
    <row r="235" spans="1:14" s="3" customFormat="1" ht="12.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1018057.16</v>
      </c>
      <c r="G235" s="18">
        <v>472646.75</v>
      </c>
      <c r="H235" s="18">
        <v>22194.39</v>
      </c>
      <c r="I235" s="18">
        <v>85890.26</v>
      </c>
      <c r="J235" s="18">
        <v>11000</v>
      </c>
      <c r="K235" s="18">
        <v>0.02</v>
      </c>
      <c r="L235" s="19">
        <f>SUM(F235:K235)</f>
        <v>1609788.58</v>
      </c>
      <c r="M235" s="8"/>
      <c r="N235" s="271"/>
    </row>
    <row r="236" spans="1:14" s="3" customFormat="1" ht="12.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482689.36-0.005</f>
        <v>482689.35499999998</v>
      </c>
      <c r="G236" s="18">
        <f>129910.41-0.005</f>
        <v>129910.405</v>
      </c>
      <c r="H236" s="18">
        <v>152196.41</v>
      </c>
      <c r="I236" s="18">
        <v>44023.48</v>
      </c>
      <c r="J236" s="18">
        <v>53</v>
      </c>
      <c r="K236" s="18">
        <v>13859</v>
      </c>
      <c r="L236" s="19">
        <f>SUM(F236:K236)</f>
        <v>822731.65</v>
      </c>
      <c r="M236" s="8"/>
      <c r="N236" s="271"/>
    </row>
    <row r="237" spans="1:14" s="3" customFormat="1" ht="12.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1"/>
    </row>
    <row r="238" spans="1:14" s="3" customFormat="1" ht="12.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817692.28</v>
      </c>
      <c r="G238" s="18">
        <v>372123.72</v>
      </c>
      <c r="H238" s="18">
        <v>138431.10999999999</v>
      </c>
      <c r="I238" s="18">
        <v>22235.87</v>
      </c>
      <c r="J238" s="18"/>
      <c r="K238" s="18">
        <v>904</v>
      </c>
      <c r="L238" s="19">
        <f t="shared" ref="L238:L244" si="4">SUM(F238:K238)</f>
        <v>1351386.98</v>
      </c>
      <c r="M238" s="8"/>
      <c r="N238" s="271"/>
    </row>
    <row r="239" spans="1:14" s="3" customFormat="1" ht="12.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334042.01</v>
      </c>
      <c r="G239" s="18">
        <v>122923.7</v>
      </c>
      <c r="H239" s="18">
        <v>53214.27</v>
      </c>
      <c r="I239" s="18">
        <v>73528.86</v>
      </c>
      <c r="J239" s="18">
        <v>97749.11</v>
      </c>
      <c r="K239" s="18">
        <v>129</v>
      </c>
      <c r="L239" s="19">
        <f t="shared" si="4"/>
        <v>681586.95000000007</v>
      </c>
      <c r="M239" s="8"/>
      <c r="N239" s="271"/>
    </row>
    <row r="240" spans="1:14" s="3" customFormat="1" ht="12.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169950.32</v>
      </c>
      <c r="G240" s="18">
        <v>81234.52</v>
      </c>
      <c r="H240" s="18">
        <v>49245.79</v>
      </c>
      <c r="I240" s="18">
        <v>4545.3100000000004</v>
      </c>
      <c r="J240" s="18"/>
      <c r="K240" s="18">
        <v>3668.28</v>
      </c>
      <c r="L240" s="19">
        <f t="shared" si="4"/>
        <v>308644.22000000003</v>
      </c>
      <c r="M240" s="8"/>
      <c r="N240" s="271"/>
    </row>
    <row r="241" spans="1:14" s="3" customFormat="1" ht="12.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662543.06999999995</v>
      </c>
      <c r="G241" s="18">
        <v>327210.2</v>
      </c>
      <c r="H241" s="18">
        <v>99193.29</v>
      </c>
      <c r="I241" s="18">
        <v>11624.83</v>
      </c>
      <c r="J241" s="18"/>
      <c r="K241" s="18">
        <v>5328</v>
      </c>
      <c r="L241" s="19">
        <f t="shared" si="4"/>
        <v>1105899.3900000001</v>
      </c>
      <c r="M241" s="8"/>
      <c r="N241" s="271"/>
    </row>
    <row r="242" spans="1:14" s="3" customFormat="1" ht="12.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104255</v>
      </c>
      <c r="G242" s="18">
        <v>56797.62</v>
      </c>
      <c r="H242" s="18">
        <v>5208.6099999999997</v>
      </c>
      <c r="I242" s="18"/>
      <c r="J242" s="18"/>
      <c r="K242" s="18"/>
      <c r="L242" s="19">
        <f t="shared" si="4"/>
        <v>166261.22999999998</v>
      </c>
      <c r="M242" s="8"/>
      <c r="N242" s="271"/>
    </row>
    <row r="243" spans="1:14" s="3" customFormat="1" ht="12.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606088.30000000005</v>
      </c>
      <c r="G243" s="18">
        <v>328389.46000000002</v>
      </c>
      <c r="H243" s="18">
        <v>299382.03000000003</v>
      </c>
      <c r="I243" s="18">
        <v>499268.19</v>
      </c>
      <c r="J243" s="18">
        <v>7656.61</v>
      </c>
      <c r="K243" s="18"/>
      <c r="L243" s="19">
        <f t="shared" si="4"/>
        <v>1740784.59</v>
      </c>
      <c r="M243" s="8"/>
      <c r="N243" s="271"/>
    </row>
    <row r="244" spans="1:14" s="3" customFormat="1" ht="12.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942260.27</v>
      </c>
      <c r="I244" s="18"/>
      <c r="J244" s="18"/>
      <c r="K244" s="18"/>
      <c r="L244" s="19">
        <f t="shared" si="4"/>
        <v>942260.27</v>
      </c>
      <c r="M244" s="8"/>
      <c r="N244" s="271"/>
    </row>
    <row r="245" spans="1:14" s="3" customFormat="1" ht="12.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16312.21</v>
      </c>
      <c r="G245" s="18">
        <v>4154.1099999999997</v>
      </c>
      <c r="H245" s="18">
        <v>29533.7</v>
      </c>
      <c r="I245" s="18">
        <v>5500.03</v>
      </c>
      <c r="J245" s="18"/>
      <c r="K245" s="18"/>
      <c r="L245" s="19">
        <f>SUM(F245:K245)</f>
        <v>55500.05</v>
      </c>
      <c r="M245" s="8"/>
      <c r="N245" s="271"/>
    </row>
    <row r="246" spans="1:14" s="3" customFormat="1" ht="12.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1"/>
    </row>
    <row r="247" spans="1:14" s="3" customFormat="1" ht="12.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11537278.505000001</v>
      </c>
      <c r="G247" s="41">
        <f t="shared" si="5"/>
        <v>5293471.5650000004</v>
      </c>
      <c r="H247" s="41">
        <f t="shared" si="5"/>
        <v>3658635.0399999996</v>
      </c>
      <c r="I247" s="41">
        <f t="shared" si="5"/>
        <v>908225.34000000008</v>
      </c>
      <c r="J247" s="41">
        <f t="shared" si="5"/>
        <v>144641.9</v>
      </c>
      <c r="K247" s="41">
        <f t="shared" si="5"/>
        <v>24354.68</v>
      </c>
      <c r="L247" s="41">
        <f t="shared" si="5"/>
        <v>21566607.030000001</v>
      </c>
      <c r="M247" s="8"/>
      <c r="N247" s="271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1"/>
    </row>
    <row r="249" spans="1:14" s="3" customFormat="1" ht="12.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.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.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f>141598.97-0.02</f>
        <v>141598.95000000001</v>
      </c>
      <c r="G251" s="18">
        <v>62864.47</v>
      </c>
      <c r="H251" s="18">
        <v>1071.24</v>
      </c>
      <c r="I251" s="18">
        <v>2304.02</v>
      </c>
      <c r="J251" s="18"/>
      <c r="K251" s="18"/>
      <c r="L251" s="19">
        <f t="shared" si="6"/>
        <v>207838.68</v>
      </c>
      <c r="M251" s="8"/>
      <c r="N251" s="271"/>
    </row>
    <row r="252" spans="1:14" s="3" customFormat="1" ht="12.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.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.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.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722225.18</v>
      </c>
      <c r="I255" s="18"/>
      <c r="J255" s="18"/>
      <c r="K255" s="18"/>
      <c r="L255" s="19">
        <f t="shared" si="6"/>
        <v>722225.18</v>
      </c>
      <c r="M255" s="8"/>
      <c r="N255" s="271"/>
    </row>
    <row r="256" spans="1:14" s="3" customFormat="1" ht="12.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141598.95000000001</v>
      </c>
      <c r="G256" s="41">
        <f t="shared" si="7"/>
        <v>62864.47</v>
      </c>
      <c r="H256" s="41">
        <f t="shared" si="7"/>
        <v>723296.42</v>
      </c>
      <c r="I256" s="41">
        <f t="shared" si="7"/>
        <v>2304.02</v>
      </c>
      <c r="J256" s="41">
        <f t="shared" si="7"/>
        <v>0</v>
      </c>
      <c r="K256" s="41">
        <f t="shared" si="7"/>
        <v>0</v>
      </c>
      <c r="L256" s="41">
        <f>SUM(F256:K256)</f>
        <v>930063.8600000001</v>
      </c>
      <c r="M256" s="8"/>
      <c r="N256" s="271"/>
    </row>
    <row r="257" spans="1:14" s="3" customFormat="1" ht="12.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31689016.833999995</v>
      </c>
      <c r="G257" s="41">
        <f t="shared" si="8"/>
        <v>14230838.554000003</v>
      </c>
      <c r="H257" s="41">
        <f t="shared" si="8"/>
        <v>8092446.6799999997</v>
      </c>
      <c r="I257" s="41">
        <f t="shared" si="8"/>
        <v>2079547.12</v>
      </c>
      <c r="J257" s="41">
        <f t="shared" si="8"/>
        <v>417043.65</v>
      </c>
      <c r="K257" s="41">
        <f t="shared" si="8"/>
        <v>37604.550000000003</v>
      </c>
      <c r="L257" s="41">
        <f t="shared" si="8"/>
        <v>56546497.388000004</v>
      </c>
      <c r="M257" s="8"/>
      <c r="N257" s="271"/>
    </row>
    <row r="258" spans="1:14" s="3" customFormat="1" ht="12.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1"/>
    </row>
    <row r="259" spans="1:14" s="3" customFormat="1" ht="12.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1"/>
    </row>
    <row r="260" spans="1:14" s="3" customFormat="1" ht="12.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4138000</v>
      </c>
      <c r="L260" s="19">
        <f>SUM(F260:K260)</f>
        <v>4138000</v>
      </c>
      <c r="M260" s="8"/>
      <c r="N260" s="271"/>
    </row>
    <row r="261" spans="1:14" ht="12.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2734605.22</v>
      </c>
      <c r="L261" s="19">
        <f>SUM(F261:K261)</f>
        <v>2734605.22</v>
      </c>
      <c r="N261" s="269"/>
    </row>
    <row r="262" spans="1:14" ht="12.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9"/>
    </row>
    <row r="263" spans="1:14" ht="12.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69"/>
    </row>
    <row r="264" spans="1:14" ht="12.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69"/>
    </row>
    <row r="265" spans="1:14" ht="12.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69"/>
    </row>
    <row r="266" spans="1:14" ht="12.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69"/>
    </row>
    <row r="267" spans="1:14" ht="12.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9"/>
    </row>
    <row r="268" spans="1:14" ht="12.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69"/>
    </row>
    <row r="269" spans="1:14" ht="12.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69"/>
    </row>
    <row r="270" spans="1:14" ht="12.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6872605.2200000007</v>
      </c>
      <c r="L270" s="41">
        <f t="shared" si="9"/>
        <v>6872605.2200000007</v>
      </c>
      <c r="N270" s="269"/>
    </row>
    <row r="271" spans="1:14" s="3" customFormat="1" ht="12.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31689016.833999995</v>
      </c>
      <c r="G271" s="42">
        <f t="shared" si="11"/>
        <v>14230838.554000003</v>
      </c>
      <c r="H271" s="42">
        <f t="shared" si="11"/>
        <v>8092446.6799999997</v>
      </c>
      <c r="I271" s="42">
        <f t="shared" si="11"/>
        <v>2079547.12</v>
      </c>
      <c r="J271" s="42">
        <f t="shared" si="11"/>
        <v>417043.65</v>
      </c>
      <c r="K271" s="42">
        <f t="shared" si="11"/>
        <v>6910209.7700000005</v>
      </c>
      <c r="L271" s="42">
        <f t="shared" si="11"/>
        <v>63419102.608000003</v>
      </c>
      <c r="M271" s="8"/>
      <c r="N271" s="271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.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1"/>
    </row>
    <row r="274" spans="1:14" s="3" customFormat="1" ht="12.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.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1"/>
    </row>
    <row r="276" spans="1:14" s="3" customFormat="1" ht="12.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315755.96+0.004</f>
        <v>315755.96400000004</v>
      </c>
      <c r="G276" s="18">
        <f>25112.32-0.005</f>
        <v>25112.314999999999</v>
      </c>
      <c r="H276" s="18">
        <v>7281.54</v>
      </c>
      <c r="I276" s="18">
        <v>5900.66</v>
      </c>
      <c r="J276" s="18"/>
      <c r="K276" s="18"/>
      <c r="L276" s="19">
        <f>SUM(F276:K276)</f>
        <v>354050.47899999999</v>
      </c>
      <c r="M276" s="8"/>
      <c r="N276" s="271"/>
    </row>
    <row r="277" spans="1:14" s="3" customFormat="1" ht="12.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85635.77+0.002</f>
        <v>85635.771999999997</v>
      </c>
      <c r="G277" s="18">
        <v>5424.3</v>
      </c>
      <c r="H277" s="18">
        <v>3485.15</v>
      </c>
      <c r="I277" s="18"/>
      <c r="J277" s="18">
        <v>5137.88</v>
      </c>
      <c r="K277" s="18"/>
      <c r="L277" s="19">
        <f>SUM(F277:K277)</f>
        <v>99683.101999999999</v>
      </c>
      <c r="M277" s="8"/>
      <c r="N277" s="271"/>
    </row>
    <row r="278" spans="1:14" s="3" customFormat="1" ht="12.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.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1605</v>
      </c>
      <c r="G279" s="18">
        <v>156.38</v>
      </c>
      <c r="H279" s="18">
        <v>999</v>
      </c>
      <c r="I279" s="18">
        <v>2598.06</v>
      </c>
      <c r="J279" s="18"/>
      <c r="K279" s="18"/>
      <c r="L279" s="19">
        <f>SUM(F279:K279)</f>
        <v>5358.4400000000005</v>
      </c>
      <c r="M279" s="8"/>
      <c r="N279" s="271"/>
    </row>
    <row r="280" spans="1:14" s="3" customFormat="1" ht="12.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1"/>
    </row>
    <row r="281" spans="1:14" s="3" customFormat="1" ht="12.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33313.199999999997</v>
      </c>
      <c r="G281" s="18"/>
      <c r="H281" s="18">
        <v>82976.28</v>
      </c>
      <c r="I281" s="18"/>
      <c r="J281" s="18"/>
      <c r="K281" s="18"/>
      <c r="L281" s="19">
        <f t="shared" ref="L281:L287" si="12">SUM(F281:K281)</f>
        <v>116289.48</v>
      </c>
      <c r="M281" s="8"/>
      <c r="N281" s="271"/>
    </row>
    <row r="282" spans="1:14" s="3" customFormat="1" ht="12.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40089.519999999997</v>
      </c>
      <c r="G282" s="18">
        <v>7752.2</v>
      </c>
      <c r="H282" s="18">
        <v>61966.01</v>
      </c>
      <c r="I282" s="18">
        <v>2109.4699999999998</v>
      </c>
      <c r="J282" s="18"/>
      <c r="K282" s="18"/>
      <c r="L282" s="19">
        <f t="shared" si="12"/>
        <v>111917.2</v>
      </c>
      <c r="M282" s="8"/>
      <c r="N282" s="271"/>
    </row>
    <row r="283" spans="1:14" s="3" customFormat="1" ht="12.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.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.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.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.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4075.5</v>
      </c>
      <c r="I287" s="18"/>
      <c r="J287" s="18"/>
      <c r="K287" s="18"/>
      <c r="L287" s="19">
        <f t="shared" si="12"/>
        <v>4075.5</v>
      </c>
      <c r="M287" s="8"/>
      <c r="N287" s="271"/>
    </row>
    <row r="288" spans="1:14" s="3" customFormat="1" ht="12.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.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1"/>
    </row>
    <row r="290" spans="1:14" s="3" customFormat="1" ht="12.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476399.45600000006</v>
      </c>
      <c r="G290" s="42">
        <f t="shared" si="13"/>
        <v>38445.195</v>
      </c>
      <c r="H290" s="42">
        <f t="shared" si="13"/>
        <v>160783.48000000001</v>
      </c>
      <c r="I290" s="42">
        <f t="shared" si="13"/>
        <v>10608.189999999999</v>
      </c>
      <c r="J290" s="42">
        <f t="shared" si="13"/>
        <v>5137.88</v>
      </c>
      <c r="K290" s="42">
        <f t="shared" si="13"/>
        <v>0</v>
      </c>
      <c r="L290" s="41">
        <f t="shared" si="13"/>
        <v>691374.201</v>
      </c>
      <c r="M290" s="8"/>
      <c r="N290" s="271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.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1"/>
    </row>
    <row r="293" spans="1:14" s="3" customFormat="1" ht="12.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.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1"/>
    </row>
    <row r="295" spans="1:14" s="3" customFormat="1" ht="12.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53825.72</v>
      </c>
      <c r="G295" s="18">
        <v>5929.84</v>
      </c>
      <c r="H295" s="18">
        <v>7160.96</v>
      </c>
      <c r="I295" s="18">
        <v>8908.74</v>
      </c>
      <c r="J295" s="18">
        <v>4408</v>
      </c>
      <c r="K295" s="18"/>
      <c r="L295" s="19">
        <f>SUM(F295:K295)</f>
        <v>80233.260000000009</v>
      </c>
      <c r="M295" s="8"/>
      <c r="N295" s="271"/>
    </row>
    <row r="296" spans="1:14" s="3" customFormat="1" ht="12.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178139.05</v>
      </c>
      <c r="G296" s="18">
        <f>23776.07-0.005</f>
        <v>23776.064999999999</v>
      </c>
      <c r="H296" s="18">
        <v>88.64</v>
      </c>
      <c r="I296" s="18"/>
      <c r="J296" s="18">
        <v>419.32</v>
      </c>
      <c r="K296" s="18"/>
      <c r="L296" s="19">
        <f>SUM(F296:K296)</f>
        <v>202423.07500000001</v>
      </c>
      <c r="M296" s="8"/>
      <c r="N296" s="271"/>
    </row>
    <row r="297" spans="1:14" s="3" customFormat="1" ht="12.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.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7517.83</v>
      </c>
      <c r="G298" s="18">
        <v>1379.76</v>
      </c>
      <c r="H298" s="18">
        <v>483.14</v>
      </c>
      <c r="I298" s="18">
        <v>1362.29</v>
      </c>
      <c r="J298" s="18"/>
      <c r="K298" s="18"/>
      <c r="L298" s="19">
        <f>SUM(F298:K298)</f>
        <v>10743.02</v>
      </c>
      <c r="M298" s="8"/>
      <c r="N298" s="271"/>
    </row>
    <row r="299" spans="1:14" s="3" customFormat="1" ht="12.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1"/>
    </row>
    <row r="300" spans="1:14" s="3" customFormat="1" ht="12.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19471.8</v>
      </c>
      <c r="G300" s="18"/>
      <c r="H300" s="18">
        <v>48500.22</v>
      </c>
      <c r="I300" s="18"/>
      <c r="J300" s="18"/>
      <c r="K300" s="18"/>
      <c r="L300" s="19">
        <f t="shared" ref="L300:L306" si="14">SUM(F300:K300)</f>
        <v>67972.02</v>
      </c>
      <c r="M300" s="8"/>
      <c r="N300" s="271"/>
    </row>
    <row r="301" spans="1:14" s="3" customFormat="1" ht="12.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24038.06</v>
      </c>
      <c r="G301" s="18">
        <v>5379.93</v>
      </c>
      <c r="H301" s="18">
        <v>12559.7</v>
      </c>
      <c r="I301" s="18">
        <v>2217.6999999999998</v>
      </c>
      <c r="J301" s="18"/>
      <c r="K301" s="18"/>
      <c r="L301" s="19">
        <f t="shared" si="14"/>
        <v>44195.39</v>
      </c>
      <c r="M301" s="8"/>
      <c r="N301" s="271"/>
    </row>
    <row r="302" spans="1:14" s="3" customFormat="1" ht="12.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.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.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.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.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v>7366.42</v>
      </c>
      <c r="I306" s="18"/>
      <c r="J306" s="18"/>
      <c r="K306" s="18"/>
      <c r="L306" s="19">
        <f t="shared" si="14"/>
        <v>7366.42</v>
      </c>
      <c r="M306" s="8"/>
      <c r="N306" s="271"/>
    </row>
    <row r="307" spans="1:14" s="3" customFormat="1" ht="12.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.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1"/>
    </row>
    <row r="309" spans="1:14" ht="12.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282992.45999999996</v>
      </c>
      <c r="G309" s="42">
        <f t="shared" si="15"/>
        <v>36465.595000000001</v>
      </c>
      <c r="H309" s="42">
        <f t="shared" si="15"/>
        <v>76159.08</v>
      </c>
      <c r="I309" s="42">
        <f t="shared" si="15"/>
        <v>12488.73</v>
      </c>
      <c r="J309" s="42">
        <f t="shared" si="15"/>
        <v>4827.32</v>
      </c>
      <c r="K309" s="42">
        <f t="shared" si="15"/>
        <v>0</v>
      </c>
      <c r="L309" s="41">
        <f t="shared" si="15"/>
        <v>412933.18500000006</v>
      </c>
      <c r="N309" s="269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.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1"/>
    </row>
    <row r="312" spans="1:14" s="3" customFormat="1" ht="12.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.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1"/>
    </row>
    <row r="314" spans="1:14" s="3" customFormat="1" ht="12.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0</v>
      </c>
      <c r="G314" s="18">
        <v>18.82</v>
      </c>
      <c r="H314" s="18">
        <v>3626.76</v>
      </c>
      <c r="I314" s="18">
        <v>1108.8399999999999</v>
      </c>
      <c r="J314" s="18"/>
      <c r="K314" s="18"/>
      <c r="L314" s="19">
        <f>SUM(F314:K314)</f>
        <v>4754.42</v>
      </c>
      <c r="M314" s="8"/>
      <c r="N314" s="271"/>
    </row>
    <row r="315" spans="1:14" s="3" customFormat="1" ht="12.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173555.03</v>
      </c>
      <c r="G315" s="18">
        <f>38778.79-0.005</f>
        <v>38778.785000000003</v>
      </c>
      <c r="H315" s="18">
        <v>115.69</v>
      </c>
      <c r="I315" s="18"/>
      <c r="J315" s="18">
        <v>547.29999999999995</v>
      </c>
      <c r="K315" s="18"/>
      <c r="L315" s="19">
        <f>SUM(F315:K315)</f>
        <v>212996.80499999999</v>
      </c>
      <c r="M315" s="8"/>
      <c r="N315" s="271"/>
    </row>
    <row r="316" spans="1:14" s="3" customFormat="1" ht="12.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18832.07</v>
      </c>
      <c r="G316" s="18">
        <v>7782.36</v>
      </c>
      <c r="H316" s="18">
        <v>18192.55</v>
      </c>
      <c r="I316" s="18">
        <v>16150.55</v>
      </c>
      <c r="J316" s="18">
        <v>106016.5</v>
      </c>
      <c r="K316" s="18"/>
      <c r="L316" s="19">
        <f>SUM(F316:K316)</f>
        <v>166974.03</v>
      </c>
      <c r="M316" s="8"/>
      <c r="N316" s="271"/>
    </row>
    <row r="317" spans="1:14" s="3" customFormat="1" ht="12.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.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1"/>
    </row>
    <row r="319" spans="1:14" s="3" customFormat="1" ht="12.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f>25415+1000</f>
        <v>26415</v>
      </c>
      <c r="G319" s="18">
        <v>229.45</v>
      </c>
      <c r="H319" s="18">
        <v>63303.5</v>
      </c>
      <c r="I319" s="18"/>
      <c r="J319" s="18"/>
      <c r="K319" s="18"/>
      <c r="L319" s="19">
        <f t="shared" ref="L319:L325" si="16">SUM(F319:K319)</f>
        <v>89947.95</v>
      </c>
      <c r="M319" s="8"/>
      <c r="N319" s="271"/>
    </row>
    <row r="320" spans="1:14" s="3" customFormat="1" ht="12.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28807.81</v>
      </c>
      <c r="G320" s="18">
        <v>6417.74</v>
      </c>
      <c r="H320" s="18">
        <v>36408.019999999997</v>
      </c>
      <c r="I320" s="18">
        <v>1316</v>
      </c>
      <c r="J320" s="18"/>
      <c r="K320" s="18">
        <v>5825.14</v>
      </c>
      <c r="L320" s="19">
        <f t="shared" si="16"/>
        <v>78774.710000000006</v>
      </c>
      <c r="M320" s="8"/>
      <c r="N320" s="271"/>
    </row>
    <row r="321" spans="1:14" s="3" customFormat="1" ht="12.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.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.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.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.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3109.25</v>
      </c>
      <c r="I325" s="18"/>
      <c r="J325" s="18"/>
      <c r="K325" s="18"/>
      <c r="L325" s="19">
        <f t="shared" si="16"/>
        <v>3109.25</v>
      </c>
      <c r="M325" s="8"/>
      <c r="N325" s="271"/>
    </row>
    <row r="326" spans="1:14" s="3" customFormat="1" ht="12.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.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1"/>
    </row>
    <row r="328" spans="1:14" s="3" customFormat="1" ht="12.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247609.91</v>
      </c>
      <c r="G328" s="42">
        <f t="shared" si="17"/>
        <v>53227.154999999999</v>
      </c>
      <c r="H328" s="42">
        <f t="shared" si="17"/>
        <v>124755.76999999999</v>
      </c>
      <c r="I328" s="42">
        <f t="shared" si="17"/>
        <v>18575.39</v>
      </c>
      <c r="J328" s="42">
        <f t="shared" si="17"/>
        <v>106563.8</v>
      </c>
      <c r="K328" s="42">
        <f t="shared" si="17"/>
        <v>5825.14</v>
      </c>
      <c r="L328" s="41">
        <f t="shared" si="17"/>
        <v>556557.16500000004</v>
      </c>
      <c r="M328" s="8"/>
      <c r="N328" s="271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.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1"/>
    </row>
    <row r="331" spans="1:14" s="3" customFormat="1" ht="12.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.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.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f>75542.29+36232.38</f>
        <v>111774.66999999998</v>
      </c>
      <c r="G333" s="18">
        <f>10673.37+3237.27</f>
        <v>13910.640000000001</v>
      </c>
      <c r="H333" s="18">
        <v>11145.83</v>
      </c>
      <c r="I333" s="18">
        <f>4687.62+2240.47+54.87</f>
        <v>6982.96</v>
      </c>
      <c r="J333" s="18">
        <v>465.5</v>
      </c>
      <c r="K333" s="18"/>
      <c r="L333" s="19">
        <f t="shared" si="18"/>
        <v>144279.59999999998</v>
      </c>
      <c r="M333" s="8"/>
      <c r="N333" s="271"/>
    </row>
    <row r="334" spans="1:14" s="3" customFormat="1" ht="12.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.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3690.78</v>
      </c>
      <c r="G335" s="18">
        <v>552.88</v>
      </c>
      <c r="H335" s="18">
        <v>960</v>
      </c>
      <c r="I335" s="18">
        <v>6935.66</v>
      </c>
      <c r="J335" s="18"/>
      <c r="K335" s="18"/>
      <c r="L335" s="19">
        <f t="shared" si="18"/>
        <v>12139.32</v>
      </c>
      <c r="M335" s="8"/>
      <c r="N335" s="271"/>
    </row>
    <row r="336" spans="1:14" s="3" customFormat="1" ht="12.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.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115465.44999999998</v>
      </c>
      <c r="G337" s="41">
        <f t="shared" si="19"/>
        <v>14463.52</v>
      </c>
      <c r="H337" s="41">
        <f t="shared" si="19"/>
        <v>12105.83</v>
      </c>
      <c r="I337" s="41">
        <f t="shared" si="19"/>
        <v>13918.619999999999</v>
      </c>
      <c r="J337" s="41">
        <f t="shared" si="19"/>
        <v>465.5</v>
      </c>
      <c r="K337" s="41">
        <f t="shared" si="19"/>
        <v>0</v>
      </c>
      <c r="L337" s="41">
        <f t="shared" si="18"/>
        <v>156418.91999999998</v>
      </c>
      <c r="M337" s="8"/>
      <c r="N337" s="271"/>
    </row>
    <row r="338" spans="1:43" s="3" customFormat="1" ht="12.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1122467.2760000001</v>
      </c>
      <c r="G338" s="41">
        <f t="shared" si="20"/>
        <v>142601.465</v>
      </c>
      <c r="H338" s="41">
        <f t="shared" si="20"/>
        <v>373804.16</v>
      </c>
      <c r="I338" s="41">
        <f t="shared" si="20"/>
        <v>55590.929999999993</v>
      </c>
      <c r="J338" s="41">
        <f t="shared" si="20"/>
        <v>116994.5</v>
      </c>
      <c r="K338" s="41">
        <f t="shared" si="20"/>
        <v>5825.14</v>
      </c>
      <c r="L338" s="41">
        <f t="shared" si="20"/>
        <v>1817283.4709999999</v>
      </c>
      <c r="M338" s="8"/>
      <c r="N338" s="271"/>
    </row>
    <row r="339" spans="1:43" s="3" customFormat="1" ht="12.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.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1"/>
    </row>
    <row r="341" spans="1:43" s="3" customFormat="1" ht="12.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1"/>
    </row>
    <row r="342" spans="1:43" s="3" customFormat="1" ht="12.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1"/>
    </row>
    <row r="343" spans="1:43" s="12" customFormat="1" ht="12.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20054.95</v>
      </c>
      <c r="L344" s="19">
        <f t="shared" ref="L344:L350" si="21">SUM(F344:K344)</f>
        <v>20054.95</v>
      </c>
      <c r="M344" s="8"/>
      <c r="N344" s="271"/>
    </row>
    <row r="345" spans="1:43" s="3" customFormat="1" ht="12.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1"/>
    </row>
    <row r="346" spans="1:43" s="3" customFormat="1" ht="12.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1"/>
    </row>
    <row r="347" spans="1:43" s="3" customFormat="1" ht="12.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1"/>
    </row>
    <row r="348" spans="1:43" s="3" customFormat="1" ht="12.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1"/>
    </row>
    <row r="349" spans="1:43" s="3" customFormat="1" ht="12.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1"/>
    </row>
    <row r="350" spans="1:43" s="3" customFormat="1" ht="12.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1"/>
    </row>
    <row r="351" spans="1:43" s="3" customFormat="1" ht="12.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20054.95</v>
      </c>
      <c r="L351" s="41">
        <f>SUM(L341:L350)</f>
        <v>20054.95</v>
      </c>
      <c r="M351" s="8"/>
      <c r="N351" s="271"/>
    </row>
    <row r="352" spans="1:43" s="12" customFormat="1" ht="12.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1122467.2760000001</v>
      </c>
      <c r="G352" s="41">
        <f>G338</f>
        <v>142601.465</v>
      </c>
      <c r="H352" s="41">
        <f>H338</f>
        <v>373804.16</v>
      </c>
      <c r="I352" s="41">
        <f>I338</f>
        <v>55590.929999999993</v>
      </c>
      <c r="J352" s="41">
        <f>J338</f>
        <v>116994.5</v>
      </c>
      <c r="K352" s="47">
        <f>K338+K351</f>
        <v>25880.09</v>
      </c>
      <c r="L352" s="41">
        <f>L338+L351</f>
        <v>1837338.4209999999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1"/>
    </row>
    <row r="355" spans="1:22" s="3" customFormat="1" ht="12.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.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1"/>
    </row>
    <row r="357" spans="1:22" s="3" customFormat="1" ht="12.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1"/>
    </row>
    <row r="358" spans="1:22" ht="12.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275">
        <v>223410.14998000002</v>
      </c>
      <c r="G358" s="275">
        <v>60629.910239999997</v>
      </c>
      <c r="H358" s="275">
        <v>12237.27196</v>
      </c>
      <c r="I358" s="275">
        <v>169789.90687999999</v>
      </c>
      <c r="J358" s="275">
        <v>2400.7816199999997</v>
      </c>
      <c r="K358" s="18"/>
      <c r="L358" s="13">
        <f>SUM(F358:K358)</f>
        <v>468468.02067999996</v>
      </c>
      <c r="N358" s="269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275">
        <v>121396.40527</v>
      </c>
      <c r="G359" s="275">
        <v>57069.66676</v>
      </c>
      <c r="H359" s="275">
        <v>3056.8435399999998</v>
      </c>
      <c r="I359" s="275">
        <v>122978.97212000001</v>
      </c>
      <c r="J359" s="275">
        <v>1388.0181299999999</v>
      </c>
      <c r="K359" s="18"/>
      <c r="L359" s="19">
        <f>SUM(F359:K359)</f>
        <v>305889.90581999999</v>
      </c>
      <c r="M359" s="8"/>
      <c r="N359" s="271"/>
    </row>
    <row r="360" spans="1:22" s="3" customFormat="1" ht="12.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275">
        <v>207781.49474999998</v>
      </c>
      <c r="G360" s="275">
        <v>88920.273000000001</v>
      </c>
      <c r="H360" s="275">
        <v>4842.0245000000004</v>
      </c>
      <c r="I360" s="275">
        <f>290563.021-982.93</f>
        <v>289580.09100000001</v>
      </c>
      <c r="J360" s="275">
        <v>2069.9802500000001</v>
      </c>
      <c r="K360" s="18"/>
      <c r="L360" s="19">
        <f>SUM(F360:K360)</f>
        <v>593193.86349999998</v>
      </c>
      <c r="M360" s="8"/>
      <c r="N360" s="271"/>
    </row>
    <row r="361" spans="1:22" s="3" customFormat="1" ht="12.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1"/>
    </row>
    <row r="362" spans="1:22" s="3" customFormat="1" ht="12.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552588.05000000005</v>
      </c>
      <c r="G362" s="47">
        <f t="shared" si="22"/>
        <v>206619.84999999998</v>
      </c>
      <c r="H362" s="47">
        <f t="shared" si="22"/>
        <v>20136.14</v>
      </c>
      <c r="I362" s="47">
        <f t="shared" si="22"/>
        <v>582348.97</v>
      </c>
      <c r="J362" s="47">
        <f t="shared" si="22"/>
        <v>5858.78</v>
      </c>
      <c r="K362" s="47">
        <f t="shared" si="22"/>
        <v>0</v>
      </c>
      <c r="L362" s="47">
        <f t="shared" si="22"/>
        <v>1367551.79</v>
      </c>
      <c r="M362" s="8"/>
      <c r="N362" s="271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.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1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1"/>
    </row>
    <row r="367" spans="1:22" s="3" customFormat="1" ht="12.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157357.56</v>
      </c>
      <c r="G367" s="18">
        <v>117183.53</v>
      </c>
      <c r="H367" s="18">
        <f>283851.83-982.93-982.93</f>
        <v>281885.97000000003</v>
      </c>
      <c r="I367" s="56">
        <f>SUM(F367:H367)</f>
        <v>556427.06000000006</v>
      </c>
      <c r="J367" s="24" t="s">
        <v>288</v>
      </c>
      <c r="K367" s="24" t="s">
        <v>288</v>
      </c>
      <c r="L367" s="24" t="s">
        <v>288</v>
      </c>
      <c r="M367" s="8"/>
      <c r="N367" s="271"/>
    </row>
    <row r="368" spans="1:22" s="3" customFormat="1" ht="12.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12432.35</v>
      </c>
      <c r="G368" s="63">
        <v>5795.44</v>
      </c>
      <c r="H368" s="63">
        <v>7694.12</v>
      </c>
      <c r="I368" s="56">
        <f>SUM(F368:H368)</f>
        <v>25921.91</v>
      </c>
      <c r="J368" s="24" t="s">
        <v>288</v>
      </c>
      <c r="K368" s="24" t="s">
        <v>288</v>
      </c>
      <c r="L368" s="24" t="s">
        <v>288</v>
      </c>
      <c r="M368" s="8"/>
      <c r="N368" s="271"/>
    </row>
    <row r="369" spans="1:14" s="3" customFormat="1" ht="12.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169789.91</v>
      </c>
      <c r="G369" s="47">
        <f>SUM(G367:G368)</f>
        <v>122978.97</v>
      </c>
      <c r="H369" s="47">
        <f>SUM(H367:H368)</f>
        <v>289580.09000000003</v>
      </c>
      <c r="I369" s="47">
        <f>SUM(I367:I368)</f>
        <v>582348.97000000009</v>
      </c>
      <c r="J369" s="24" t="s">
        <v>288</v>
      </c>
      <c r="K369" s="24" t="s">
        <v>288</v>
      </c>
      <c r="L369" s="24" t="s">
        <v>288</v>
      </c>
      <c r="M369" s="8"/>
      <c r="N369" s="271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.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1"/>
    </row>
    <row r="372" spans="1:14" s="3" customFormat="1" ht="12.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.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1"/>
    </row>
    <row r="374" spans="1:14" s="3" customFormat="1" ht="12.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.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1"/>
    </row>
    <row r="376" spans="1:14" s="3" customFormat="1" ht="12.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f>748053.35+180251.58-389.4+4953.77</f>
        <v>932869.29999999993</v>
      </c>
      <c r="I376" s="18"/>
      <c r="J376" s="18"/>
      <c r="K376" s="18"/>
      <c r="L376" s="13">
        <f t="shared" si="23"/>
        <v>932869.29999999993</v>
      </c>
      <c r="M376" s="8"/>
      <c r="N376" s="271"/>
    </row>
    <row r="377" spans="1:14" s="3" customFormat="1" ht="12.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.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f>22455552.78-57073.58</f>
        <v>22398479.200000003</v>
      </c>
      <c r="I378" s="18"/>
      <c r="J378" s="18">
        <v>649269.17000000004</v>
      </c>
      <c r="K378" s="18"/>
      <c r="L378" s="13">
        <f t="shared" si="23"/>
        <v>23047748.370000005</v>
      </c>
      <c r="M378" s="8"/>
      <c r="N378" s="271"/>
    </row>
    <row r="379" spans="1:14" s="3" customFormat="1" ht="12.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1"/>
    </row>
    <row r="380" spans="1:14" s="3" customFormat="1" ht="12.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.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1"/>
    </row>
    <row r="382" spans="1:14" s="3" customFormat="1" ht="12.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23331348.500000004</v>
      </c>
      <c r="I382" s="41">
        <f t="shared" si="24"/>
        <v>0</v>
      </c>
      <c r="J382" s="47">
        <f t="shared" si="24"/>
        <v>649269.17000000004</v>
      </c>
      <c r="K382" s="47">
        <f t="shared" si="24"/>
        <v>0</v>
      </c>
      <c r="L382" s="47">
        <f t="shared" si="24"/>
        <v>23980617.670000006</v>
      </c>
      <c r="M382" s="8"/>
      <c r="N382" s="271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.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.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1"/>
    </row>
    <row r="386" spans="1:14" s="3" customFormat="1" ht="12.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1"/>
    </row>
    <row r="387" spans="1:14" s="3" customFormat="1" ht="12.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1"/>
    </row>
    <row r="388" spans="1:14" s="3" customFormat="1" ht="12.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>
        <v>72.08</v>
      </c>
      <c r="I388" s="18"/>
      <c r="J388" s="24" t="s">
        <v>288</v>
      </c>
      <c r="K388" s="24" t="s">
        <v>288</v>
      </c>
      <c r="L388" s="56">
        <f t="shared" si="25"/>
        <v>72.08</v>
      </c>
      <c r="M388" s="8"/>
      <c r="N388" s="271"/>
    </row>
    <row r="389" spans="1:14" s="3" customFormat="1" ht="12.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1"/>
    </row>
    <row r="390" spans="1:14" s="3" customFormat="1" ht="12.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1"/>
    </row>
    <row r="391" spans="1:14" s="3" customFormat="1" ht="12.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1"/>
    </row>
    <row r="392" spans="1:14" s="3" customFormat="1" ht="12.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1"/>
    </row>
    <row r="393" spans="1:14" s="3" customFormat="1" ht="12.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72.08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72.08</v>
      </c>
      <c r="M393" s="8"/>
      <c r="N393" s="271"/>
    </row>
    <row r="394" spans="1:14" s="3" customFormat="1" ht="12.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1"/>
    </row>
    <row r="395" spans="1:14" s="3" customFormat="1" ht="12.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1"/>
    </row>
    <row r="396" spans="1:14" s="3" customFormat="1" ht="12.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1"/>
    </row>
    <row r="397" spans="1:14" s="3" customFormat="1" ht="12.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1"/>
    </row>
    <row r="398" spans="1:14" s="3" customFormat="1" ht="12.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1"/>
    </row>
    <row r="399" spans="1:14" s="3" customFormat="1" ht="12.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1"/>
    </row>
    <row r="400" spans="1:14" s="3" customFormat="1" ht="12.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367.99</v>
      </c>
      <c r="I400" s="18">
        <v>21635.45</v>
      </c>
      <c r="J400" s="24" t="s">
        <v>288</v>
      </c>
      <c r="K400" s="24" t="s">
        <v>288</v>
      </c>
      <c r="L400" s="56">
        <f t="shared" si="26"/>
        <v>22003.440000000002</v>
      </c>
      <c r="M400" s="8"/>
      <c r="N400" s="271"/>
    </row>
    <row r="401" spans="1:21" s="3" customFormat="1" ht="12.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367.99</v>
      </c>
      <c r="I401" s="47">
        <f>SUM(I395:I400)</f>
        <v>21635.45</v>
      </c>
      <c r="J401" s="45" t="s">
        <v>288</v>
      </c>
      <c r="K401" s="45" t="s">
        <v>288</v>
      </c>
      <c r="L401" s="47">
        <f>SUM(L395:L400)</f>
        <v>22003.440000000002</v>
      </c>
      <c r="M401" s="8"/>
      <c r="N401" s="271"/>
    </row>
    <row r="402" spans="1:21" s="3" customFormat="1" ht="12.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1"/>
    </row>
    <row r="403" spans="1:21" s="3" customFormat="1" ht="12.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1"/>
    </row>
    <row r="404" spans="1:21" s="3" customFormat="1" ht="12.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1"/>
    </row>
    <row r="405" spans="1:21" s="3" customFormat="1" ht="12.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1"/>
    </row>
    <row r="406" spans="1:21" s="3" customFormat="1" ht="12.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1"/>
    </row>
    <row r="407" spans="1:21" s="3" customFormat="1" ht="12.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1"/>
    </row>
    <row r="408" spans="1:21" s="3" customFormat="1" ht="12.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440.07</v>
      </c>
      <c r="I408" s="47">
        <f>I393+I401+I407</f>
        <v>21635.45</v>
      </c>
      <c r="J408" s="24" t="s">
        <v>288</v>
      </c>
      <c r="K408" s="24" t="s">
        <v>288</v>
      </c>
      <c r="L408" s="47">
        <f>L393+L401+L407</f>
        <v>22075.520000000004</v>
      </c>
      <c r="M408" s="8"/>
      <c r="N408" s="271"/>
    </row>
    <row r="409" spans="1:21" s="3" customFormat="1" ht="12.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1"/>
    </row>
    <row r="410" spans="1:21" s="3" customFormat="1" ht="12.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1"/>
    </row>
    <row r="411" spans="1:21" s="3" customFormat="1" ht="12.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1"/>
    </row>
    <row r="412" spans="1:21" s="3" customFormat="1" ht="12.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1"/>
    </row>
    <row r="413" spans="1:21" s="3" customFormat="1" ht="12.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.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.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.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.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>
        <v>8900</v>
      </c>
      <c r="I417" s="18"/>
      <c r="J417" s="18"/>
      <c r="K417" s="18"/>
      <c r="L417" s="56">
        <f t="shared" si="27"/>
        <v>8900</v>
      </c>
      <c r="M417" s="8"/>
      <c r="N417" s="271"/>
    </row>
    <row r="418" spans="1:21" s="3" customFormat="1" ht="12.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1"/>
    </row>
    <row r="419" spans="1:21" s="3" customFormat="1" ht="12.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8900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8900</v>
      </c>
      <c r="M419" s="8"/>
      <c r="N419" s="271"/>
    </row>
    <row r="420" spans="1:21" s="3" customFormat="1" ht="12.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1"/>
    </row>
    <row r="421" spans="1:21" s="3" customFormat="1" ht="12.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.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.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1"/>
    </row>
    <row r="424" spans="1:21" s="3" customFormat="1" ht="12.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.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.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.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1"/>
    </row>
    <row r="428" spans="1:21" s="11" customFormat="1" ht="12.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.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.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.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.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.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.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8900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8900</v>
      </c>
      <c r="M434" s="8"/>
      <c r="N434" s="271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1"/>
    </row>
    <row r="439" spans="1:14" s="3" customFormat="1" ht="12.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1"/>
    </row>
    <row r="440" spans="1:14" s="3" customFormat="1" ht="12.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29716.14</v>
      </c>
      <c r="G440" s="18">
        <v>147207.09</v>
      </c>
      <c r="H440" s="18"/>
      <c r="I440" s="56">
        <f t="shared" si="33"/>
        <v>176923.22999999998</v>
      </c>
      <c r="J440" s="24" t="s">
        <v>288</v>
      </c>
      <c r="K440" s="24" t="s">
        <v>288</v>
      </c>
      <c r="L440" s="24" t="s">
        <v>288</v>
      </c>
      <c r="M440" s="8"/>
      <c r="N440" s="271"/>
    </row>
    <row r="441" spans="1:14" s="3" customFormat="1" ht="12.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f>9382.5+2575</f>
        <v>11957.5</v>
      </c>
      <c r="H441" s="18"/>
      <c r="I441" s="56">
        <f t="shared" si="33"/>
        <v>11957.5</v>
      </c>
      <c r="J441" s="24" t="s">
        <v>288</v>
      </c>
      <c r="K441" s="24" t="s">
        <v>288</v>
      </c>
      <c r="L441" s="24" t="s">
        <v>288</v>
      </c>
      <c r="M441" s="8"/>
      <c r="N441" s="271"/>
    </row>
    <row r="442" spans="1:14" s="3" customFormat="1" ht="12.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f>21635.45-G441</f>
        <v>9677.9500000000007</v>
      </c>
      <c r="H442" s="18"/>
      <c r="I442" s="56">
        <f t="shared" si="33"/>
        <v>9677.9500000000007</v>
      </c>
      <c r="J442" s="24" t="s">
        <v>288</v>
      </c>
      <c r="K442" s="24" t="s">
        <v>288</v>
      </c>
      <c r="L442" s="24" t="s">
        <v>288</v>
      </c>
      <c r="M442" s="8"/>
      <c r="N442" s="271"/>
    </row>
    <row r="443" spans="1:14" s="3" customFormat="1" ht="12.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1"/>
    </row>
    <row r="444" spans="1:14" s="3" customFormat="1" ht="12.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1"/>
    </row>
    <row r="445" spans="1:14" s="3" customFormat="1" ht="12.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1"/>
    </row>
    <row r="446" spans="1:14" s="3" customFormat="1" ht="12.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29716.14</v>
      </c>
      <c r="G446" s="13">
        <f>SUM(G439:G445)</f>
        <v>168842.54</v>
      </c>
      <c r="H446" s="13">
        <f>SUM(H439:H445)</f>
        <v>0</v>
      </c>
      <c r="I446" s="13">
        <f>SUM(I439:I445)</f>
        <v>198558.68</v>
      </c>
      <c r="J446" s="24" t="s">
        <v>288</v>
      </c>
      <c r="K446" s="24" t="s">
        <v>288</v>
      </c>
      <c r="L446" s="24" t="s">
        <v>288</v>
      </c>
      <c r="M446" s="8"/>
      <c r="N446" s="271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1"/>
    </row>
    <row r="448" spans="1:14" s="3" customFormat="1" ht="12.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1"/>
    </row>
    <row r="449" spans="1:23" s="3" customFormat="1" ht="12.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1"/>
    </row>
    <row r="450" spans="1:23" s="3" customFormat="1" ht="12.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1"/>
    </row>
    <row r="451" spans="1:23" s="3" customFormat="1" ht="12.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1"/>
    </row>
    <row r="452" spans="1:23" s="3" customFormat="1" ht="12.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1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1"/>
    </row>
    <row r="454" spans="1:23" s="3" customFormat="1" ht="12.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1"/>
    </row>
    <row r="455" spans="1:23" s="3" customFormat="1" ht="12.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.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1"/>
    </row>
    <row r="457" spans="1:23" s="3" customFormat="1" ht="12.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29716.14</v>
      </c>
      <c r="G459" s="18">
        <v>168842.54</v>
      </c>
      <c r="H459" s="18"/>
      <c r="I459" s="56">
        <f t="shared" si="34"/>
        <v>198558.68</v>
      </c>
      <c r="J459" s="24" t="s">
        <v>288</v>
      </c>
      <c r="K459" s="24" t="s">
        <v>288</v>
      </c>
      <c r="L459" s="24" t="s">
        <v>288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29716.14</v>
      </c>
      <c r="G460" s="83">
        <f>SUM(G454:G459)</f>
        <v>168842.54</v>
      </c>
      <c r="H460" s="83">
        <f>SUM(H454:H459)</f>
        <v>0</v>
      </c>
      <c r="I460" s="83">
        <f>SUM(I454:I459)</f>
        <v>198558.68</v>
      </c>
      <c r="J460" s="24" t="s">
        <v>288</v>
      </c>
      <c r="K460" s="24" t="s">
        <v>288</v>
      </c>
      <c r="L460" s="24" t="s">
        <v>288</v>
      </c>
      <c r="N460" s="270"/>
    </row>
    <row r="461" spans="1:23" s="52" customFormat="1" ht="12.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29716.14</v>
      </c>
      <c r="G461" s="42">
        <f>G452+G460</f>
        <v>168842.54</v>
      </c>
      <c r="H461" s="42">
        <f>H452+H460</f>
        <v>0</v>
      </c>
      <c r="I461" s="42">
        <f>I452+I460</f>
        <v>198558.68</v>
      </c>
      <c r="J461" s="24" t="s">
        <v>288</v>
      </c>
      <c r="K461" s="24" t="s">
        <v>288</v>
      </c>
      <c r="L461" s="24" t="s">
        <v>288</v>
      </c>
      <c r="N461" s="270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0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2345898.37</v>
      </c>
      <c r="G465" s="18">
        <v>73041.48</v>
      </c>
      <c r="H465" s="18">
        <v>195733.03</v>
      </c>
      <c r="I465" s="18">
        <v>23374537.199999999</v>
      </c>
      <c r="J465" s="18">
        <v>185383.16</v>
      </c>
      <c r="K465" s="24" t="s">
        <v>288</v>
      </c>
      <c r="L465" s="24" t="s">
        <v>288</v>
      </c>
      <c r="N465" s="270"/>
    </row>
    <row r="466" spans="1:14" s="52" customFormat="1" ht="12.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0"/>
    </row>
    <row r="467" spans="1:14" s="52" customFormat="1" ht="12.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0"/>
    </row>
    <row r="468" spans="1:14" s="52" customFormat="1" ht="12.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62977374.55+657.77+15786.48</f>
        <v>62993818.799999997</v>
      </c>
      <c r="G468" s="18">
        <f>1404125.94-1500</f>
        <v>1402625.94</v>
      </c>
      <c r="H468" s="18">
        <v>1835656.33</v>
      </c>
      <c r="I468" s="18">
        <f>16818488.18+4109407.99+306259.88</f>
        <v>21234156.050000001</v>
      </c>
      <c r="J468" s="18">
        <v>22075.52</v>
      </c>
      <c r="K468" s="24" t="s">
        <v>288</v>
      </c>
      <c r="L468" s="24" t="s">
        <v>288</v>
      </c>
      <c r="N468" s="270"/>
    </row>
    <row r="469" spans="1:14" s="52" customFormat="1" ht="12.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25191.82</v>
      </c>
      <c r="G469" s="18"/>
      <c r="H469" s="18"/>
      <c r="I469" s="18"/>
      <c r="J469" s="18"/>
      <c r="K469" s="24" t="s">
        <v>288</v>
      </c>
      <c r="L469" s="24" t="s">
        <v>288</v>
      </c>
      <c r="N469" s="270"/>
    </row>
    <row r="470" spans="1:14" s="52" customFormat="1" ht="12.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63019010.619999997</v>
      </c>
      <c r="G470" s="53">
        <f>SUM(G468:G469)</f>
        <v>1402625.94</v>
      </c>
      <c r="H470" s="53">
        <f>SUM(H468:H469)</f>
        <v>1835656.33</v>
      </c>
      <c r="I470" s="53">
        <f>SUM(I468:I469)</f>
        <v>21234156.050000001</v>
      </c>
      <c r="J470" s="53">
        <f>SUM(J468:J469)</f>
        <v>22075.52</v>
      </c>
      <c r="K470" s="24" t="s">
        <v>288</v>
      </c>
      <c r="L470" s="24" t="s">
        <v>288</v>
      </c>
      <c r="N470" s="270"/>
    </row>
    <row r="471" spans="1:14" s="52" customFormat="1" ht="12.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0"/>
    </row>
    <row r="472" spans="1:14" s="52" customFormat="1" ht="12.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63398678+20424.61</f>
        <v>63419102.609999999</v>
      </c>
      <c r="G472" s="18">
        <v>1367551.79</v>
      </c>
      <c r="H472" s="18">
        <f>1837338.42</f>
        <v>1837338.42</v>
      </c>
      <c r="I472" s="18">
        <f>38953.26+23941664.41</f>
        <v>23980617.670000002</v>
      </c>
      <c r="J472" s="18">
        <v>8900</v>
      </c>
      <c r="K472" s="24" t="s">
        <v>288</v>
      </c>
      <c r="L472" s="24" t="s">
        <v>288</v>
      </c>
      <c r="N472" s="270"/>
    </row>
    <row r="473" spans="1:14" s="52" customFormat="1" ht="12.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>
        <f>25191.82</f>
        <v>25191.82</v>
      </c>
      <c r="I473" s="18"/>
      <c r="J473" s="18"/>
      <c r="K473" s="24" t="s">
        <v>288</v>
      </c>
      <c r="L473" s="24" t="s">
        <v>288</v>
      </c>
      <c r="N473" s="270"/>
    </row>
    <row r="474" spans="1:14" s="52" customFormat="1" ht="12.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63419102.609999999</v>
      </c>
      <c r="G474" s="53">
        <f>SUM(G472:G473)</f>
        <v>1367551.79</v>
      </c>
      <c r="H474" s="53">
        <f>SUM(H472:H473)</f>
        <v>1862530.24</v>
      </c>
      <c r="I474" s="53">
        <f>SUM(I472:I473)</f>
        <v>23980617.670000002</v>
      </c>
      <c r="J474" s="53">
        <f>SUM(J472:J473)</f>
        <v>8900</v>
      </c>
      <c r="K474" s="24" t="s">
        <v>288</v>
      </c>
      <c r="L474" s="24" t="s">
        <v>288</v>
      </c>
      <c r="N474" s="270"/>
    </row>
    <row r="475" spans="1:14" s="52" customFormat="1" ht="12.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0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1945806.3799999952</v>
      </c>
      <c r="G476" s="53">
        <f>(G465+G470)- G474</f>
        <v>108115.62999999989</v>
      </c>
      <c r="H476" s="53">
        <f>(H465+H470)- H474</f>
        <v>168859.12000000011</v>
      </c>
      <c r="I476" s="53">
        <f>(I465+I470)- I474</f>
        <v>20628075.579999998</v>
      </c>
      <c r="J476" s="53">
        <f>(J465+J470)- J474</f>
        <v>198558.68</v>
      </c>
      <c r="K476" s="24" t="s">
        <v>288</v>
      </c>
      <c r="L476" s="24" t="s">
        <v>288</v>
      </c>
      <c r="N476" s="270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.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.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0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0"/>
    </row>
    <row r="482" spans="1:14" s="52" customFormat="1" ht="12.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0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0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0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0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0"/>
    </row>
    <row r="490" spans="1:14" s="52" customFormat="1" ht="12.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16</v>
      </c>
      <c r="G490" s="154">
        <v>16</v>
      </c>
      <c r="H490" s="154">
        <v>20</v>
      </c>
      <c r="I490" s="154">
        <v>20</v>
      </c>
      <c r="J490" s="154">
        <v>20</v>
      </c>
      <c r="K490" s="24" t="s">
        <v>288</v>
      </c>
      <c r="L490" s="24" t="s">
        <v>288</v>
      </c>
      <c r="N490" s="270"/>
    </row>
    <row r="491" spans="1:14" s="52" customFormat="1" ht="12.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 t="s">
        <v>912</v>
      </c>
      <c r="H491" s="155" t="s">
        <v>915</v>
      </c>
      <c r="I491" s="155" t="s">
        <v>917</v>
      </c>
      <c r="J491" s="155" t="s">
        <v>920</v>
      </c>
      <c r="K491" s="24" t="s">
        <v>288</v>
      </c>
      <c r="L491" s="24" t="s">
        <v>288</v>
      </c>
      <c r="N491" s="270"/>
    </row>
    <row r="492" spans="1:14" s="52" customFormat="1" ht="12.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 t="s">
        <v>914</v>
      </c>
      <c r="H492" s="155" t="s">
        <v>916</v>
      </c>
      <c r="I492" s="155" t="s">
        <v>918</v>
      </c>
      <c r="J492" s="155" t="s">
        <v>921</v>
      </c>
      <c r="K492" s="24" t="s">
        <v>288</v>
      </c>
      <c r="L492" s="24" t="s">
        <v>288</v>
      </c>
      <c r="N492" s="270"/>
    </row>
    <row r="493" spans="1:14" s="52" customFormat="1" ht="12.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14506160</v>
      </c>
      <c r="G493" s="18">
        <v>7493840</v>
      </c>
      <c r="H493" s="18">
        <v>16205153</v>
      </c>
      <c r="I493" s="18">
        <v>21817560</v>
      </c>
      <c r="J493" s="18">
        <f>21323000+16960275.25</f>
        <v>38283275.25</v>
      </c>
      <c r="K493" s="24" t="s">
        <v>288</v>
      </c>
      <c r="L493" s="24" t="s">
        <v>288</v>
      </c>
      <c r="N493" s="270"/>
    </row>
    <row r="494" spans="1:14" s="52" customFormat="1" ht="12.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5.39</v>
      </c>
      <c r="G494" s="18">
        <v>3.5110000000000001</v>
      </c>
      <c r="H494" s="18">
        <v>3.5828000000000002</v>
      </c>
      <c r="I494" s="18">
        <v>3.209308</v>
      </c>
      <c r="J494" s="18" t="s">
        <v>919</v>
      </c>
      <c r="K494" s="24" t="s">
        <v>288</v>
      </c>
      <c r="L494" s="24" t="s">
        <v>288</v>
      </c>
      <c r="N494" s="270"/>
    </row>
    <row r="495" spans="1:14" s="52" customFormat="1" ht="12.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9955000</v>
      </c>
      <c r="G495" s="18">
        <v>4790000</v>
      </c>
      <c r="H495" s="18">
        <v>12970000</v>
      </c>
      <c r="I495" s="18">
        <v>19000000</v>
      </c>
      <c r="J495" s="18">
        <f>20255000+15540000</f>
        <v>35795000</v>
      </c>
      <c r="K495" s="53">
        <f>SUM(F495:J495)</f>
        <v>82510000</v>
      </c>
      <c r="L495" s="24" t="s">
        <v>288</v>
      </c>
      <c r="N495" s="270"/>
    </row>
    <row r="496" spans="1:14" s="52" customFormat="1" ht="12.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0"/>
    </row>
    <row r="497" spans="1:14" s="52" customFormat="1" ht="12.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905000</v>
      </c>
      <c r="G497" s="18">
        <v>440000</v>
      </c>
      <c r="H497" s="18">
        <v>725000</v>
      </c>
      <c r="I497" s="18">
        <v>1000000</v>
      </c>
      <c r="J497" s="18">
        <v>1068000</v>
      </c>
      <c r="K497" s="53">
        <f t="shared" si="35"/>
        <v>4138000</v>
      </c>
      <c r="L497" s="24" t="s">
        <v>288</v>
      </c>
      <c r="N497" s="270"/>
    </row>
    <row r="498" spans="1:14" s="52" customFormat="1" ht="12.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9050000</v>
      </c>
      <c r="G498" s="204">
        <v>4350000</v>
      </c>
      <c r="H498" s="204">
        <v>12245000</v>
      </c>
      <c r="I498" s="204">
        <v>18000000</v>
      </c>
      <c r="J498" s="204">
        <f>20255000+15540000</f>
        <v>35795000</v>
      </c>
      <c r="K498" s="205">
        <f t="shared" si="35"/>
        <v>79440000</v>
      </c>
      <c r="L498" s="206" t="s">
        <v>288</v>
      </c>
      <c r="N498" s="270"/>
    </row>
    <row r="499" spans="1:14" s="52" customFormat="1" ht="12.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2438975</v>
      </c>
      <c r="G499" s="18">
        <v>1064119</v>
      </c>
      <c r="H499" s="18">
        <v>5234180.5</v>
      </c>
      <c r="I499" s="18">
        <v>6263125</v>
      </c>
      <c r="J499" s="18">
        <f>6773468.75+4770606.25</f>
        <v>11544075</v>
      </c>
      <c r="K499" s="53">
        <f t="shared" si="35"/>
        <v>26544474.5</v>
      </c>
      <c r="L499" s="24" t="s">
        <v>288</v>
      </c>
      <c r="N499" s="270"/>
    </row>
    <row r="500" spans="1:14" s="52" customFormat="1" ht="12.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11488975</v>
      </c>
      <c r="G500" s="42">
        <f>SUM(G498:G499)</f>
        <v>5414119</v>
      </c>
      <c r="H500" s="42">
        <f>SUM(H498:H499)</f>
        <v>17479180.5</v>
      </c>
      <c r="I500" s="42">
        <f>SUM(I498:I499)</f>
        <v>24263125</v>
      </c>
      <c r="J500" s="42">
        <f>SUM(J498:J499)</f>
        <v>47339075</v>
      </c>
      <c r="K500" s="42">
        <f t="shared" si="35"/>
        <v>105984474.5</v>
      </c>
      <c r="L500" s="45" t="s">
        <v>288</v>
      </c>
      <c r="N500" s="270"/>
    </row>
    <row r="501" spans="1:14" s="52" customFormat="1" ht="12.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905000</v>
      </c>
      <c r="G501" s="204">
        <v>435000</v>
      </c>
      <c r="H501" s="204">
        <v>725000</v>
      </c>
      <c r="I501" s="204">
        <v>1000000</v>
      </c>
      <c r="J501" s="204">
        <f>1070000+775000</f>
        <v>1845000</v>
      </c>
      <c r="K501" s="205">
        <f t="shared" si="35"/>
        <v>4910000</v>
      </c>
      <c r="L501" s="206" t="s">
        <v>288</v>
      </c>
      <c r="N501" s="270"/>
    </row>
    <row r="502" spans="1:14" s="52" customFormat="1" ht="12.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243897.5+219507.75</f>
        <v>463405.25</v>
      </c>
      <c r="G502" s="18">
        <f>103856.25+92981.25</f>
        <v>196837.5</v>
      </c>
      <c r="H502" s="18">
        <f>312260+291960</f>
        <v>604220</v>
      </c>
      <c r="I502" s="18">
        <f>383125+358125</f>
        <v>741250</v>
      </c>
      <c r="J502" s="18">
        <f>375762.5+365062.5+281887.5+262512.5</f>
        <v>1285225</v>
      </c>
      <c r="K502" s="53">
        <f t="shared" si="35"/>
        <v>3290937.75</v>
      </c>
      <c r="L502" s="24" t="s">
        <v>288</v>
      </c>
      <c r="N502" s="270"/>
    </row>
    <row r="503" spans="1:14" s="52" customFormat="1" ht="12.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1368405.25</v>
      </c>
      <c r="G503" s="42">
        <f>SUM(G501:G502)</f>
        <v>631837.5</v>
      </c>
      <c r="H503" s="42">
        <f>SUM(H501:H502)</f>
        <v>1329220</v>
      </c>
      <c r="I503" s="42">
        <f>SUM(I501:I502)</f>
        <v>1741250</v>
      </c>
      <c r="J503" s="42">
        <f>SUM(J501:J502)</f>
        <v>3130225</v>
      </c>
      <c r="K503" s="42">
        <f t="shared" si="35"/>
        <v>8200937.75</v>
      </c>
      <c r="L503" s="45" t="s">
        <v>288</v>
      </c>
      <c r="N503" s="270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0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0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.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0"/>
    </row>
    <row r="512" spans="1:14" s="52" customFormat="1" ht="12.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0"/>
    </row>
    <row r="513" spans="1:14" s="52" customFormat="1" ht="12.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0"/>
    </row>
    <row r="514" spans="1:14" s="52" customFormat="1" ht="12.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0"/>
    </row>
    <row r="515" spans="1:14" s="52" customFormat="1" ht="12.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0"/>
    </row>
    <row r="516" spans="1:14" s="52" customFormat="1" ht="12.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0"/>
    </row>
    <row r="517" spans="1:14" s="52" customFormat="1" ht="12.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0"/>
    </row>
    <row r="518" spans="1:14" s="52" customFormat="1" ht="12.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0"/>
    </row>
    <row r="519" spans="1:14" s="52" customFormat="1" ht="12.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0"/>
    </row>
    <row r="521" spans="1:14" s="52" customFormat="1" ht="12.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2530676.81</f>
        <v>2530676.81</v>
      </c>
      <c r="G521" s="18">
        <v>797163.2</v>
      </c>
      <c r="H521" s="18">
        <f>220884-0.005</f>
        <v>220883.995</v>
      </c>
      <c r="I521" s="18">
        <v>14122.81</v>
      </c>
      <c r="J521" s="18">
        <v>10657.09</v>
      </c>
      <c r="K521" s="18">
        <v>611.30999999999995</v>
      </c>
      <c r="L521" s="88">
        <f>SUM(F521:K521)</f>
        <v>3574115.2149999999</v>
      </c>
      <c r="N521" s="270"/>
    </row>
    <row r="522" spans="1:14" s="52" customFormat="1" ht="12.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1231166.97-0.005</f>
        <v>1231166.9650000001</v>
      </c>
      <c r="G522" s="18">
        <f>387817.59-0.005</f>
        <v>387817.58500000002</v>
      </c>
      <c r="H522" s="18">
        <f>292468.49</f>
        <v>292468.49</v>
      </c>
      <c r="I522" s="18">
        <v>3714.64</v>
      </c>
      <c r="J522" s="18"/>
      <c r="K522" s="18">
        <v>357.32</v>
      </c>
      <c r="L522" s="88">
        <f>SUM(F522:K522)</f>
        <v>1915525</v>
      </c>
      <c r="N522" s="270"/>
    </row>
    <row r="523" spans="1:14" s="52" customFormat="1" ht="12.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1294597.65</f>
        <v>1294597.6499999999</v>
      </c>
      <c r="G523" s="18">
        <v>407798.26</v>
      </c>
      <c r="H523" s="18">
        <f>1411583.81</f>
        <v>1411583.81</v>
      </c>
      <c r="I523" s="18">
        <v>6524.61</v>
      </c>
      <c r="J523" s="18"/>
      <c r="K523" s="18">
        <v>466.38</v>
      </c>
      <c r="L523" s="88">
        <f>SUM(F523:K523)</f>
        <v>3120970.7099999995</v>
      </c>
      <c r="N523" s="270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5056441.4250000007</v>
      </c>
      <c r="G524" s="108">
        <f t="shared" ref="G524:L524" si="36">SUM(G521:G523)</f>
        <v>1592779.0449999999</v>
      </c>
      <c r="H524" s="108">
        <f t="shared" si="36"/>
        <v>1924936.2949999999</v>
      </c>
      <c r="I524" s="108">
        <f t="shared" si="36"/>
        <v>24362.06</v>
      </c>
      <c r="J524" s="108">
        <f t="shared" si="36"/>
        <v>10657.09</v>
      </c>
      <c r="K524" s="108">
        <f t="shared" si="36"/>
        <v>1435.0099999999998</v>
      </c>
      <c r="L524" s="89">
        <f t="shared" si="36"/>
        <v>8610610.9249999989</v>
      </c>
      <c r="N524" s="270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0"/>
    </row>
    <row r="526" spans="1:14" s="3" customFormat="1" ht="12.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931239.4</v>
      </c>
      <c r="G526" s="18">
        <v>293340.40999999997</v>
      </c>
      <c r="H526" s="18">
        <v>190732.37</v>
      </c>
      <c r="I526" s="18">
        <v>22391.919999999998</v>
      </c>
      <c r="J526" s="18"/>
      <c r="K526" s="18"/>
      <c r="L526" s="88">
        <f>SUM(F526:K526)</f>
        <v>1437704.1</v>
      </c>
      <c r="M526" s="8"/>
      <c r="N526" s="271"/>
    </row>
    <row r="527" spans="1:14" s="3" customFormat="1" ht="12.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141730.46</v>
      </c>
      <c r="G527" s="18">
        <v>44645.09</v>
      </c>
      <c r="H527" s="18">
        <v>70049.34</v>
      </c>
      <c r="I527" s="18">
        <v>2286.14</v>
      </c>
      <c r="J527" s="18"/>
      <c r="K527" s="18"/>
      <c r="L527" s="88">
        <f>SUM(F527:K527)</f>
        <v>258711.03</v>
      </c>
      <c r="M527" s="8"/>
      <c r="N527" s="271"/>
    </row>
    <row r="528" spans="1:14" s="3" customFormat="1" ht="12.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191172.27</v>
      </c>
      <c r="G528" s="18">
        <v>60219.27</v>
      </c>
      <c r="H528" s="18">
        <v>510255.09</v>
      </c>
      <c r="I528" s="18">
        <v>2983.92</v>
      </c>
      <c r="J528" s="18"/>
      <c r="K528" s="18"/>
      <c r="L528" s="88">
        <f>SUM(F528:K528)</f>
        <v>764630.55</v>
      </c>
      <c r="M528" s="8"/>
      <c r="N528" s="271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1264142.1300000001</v>
      </c>
      <c r="G529" s="89">
        <f t="shared" ref="G529:L529" si="37">SUM(G526:G528)</f>
        <v>398204.77</v>
      </c>
      <c r="H529" s="89">
        <f t="shared" si="37"/>
        <v>771036.8</v>
      </c>
      <c r="I529" s="89">
        <f t="shared" si="37"/>
        <v>27661.979999999996</v>
      </c>
      <c r="J529" s="89">
        <f t="shared" si="37"/>
        <v>0</v>
      </c>
      <c r="K529" s="89">
        <f t="shared" si="37"/>
        <v>0</v>
      </c>
      <c r="L529" s="89">
        <f t="shared" si="37"/>
        <v>2461045.6800000002</v>
      </c>
      <c r="M529" s="8"/>
      <c r="N529" s="271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1"/>
    </row>
    <row r="531" spans="1:14" s="3" customFormat="1" ht="12.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78217.86</v>
      </c>
      <c r="G531" s="18">
        <v>31287.14</v>
      </c>
      <c r="H531" s="18"/>
      <c r="I531" s="18"/>
      <c r="J531" s="18"/>
      <c r="K531" s="18"/>
      <c r="L531" s="88">
        <f>SUM(F531:K531)</f>
        <v>109505</v>
      </c>
      <c r="M531" s="8"/>
      <c r="N531" s="271"/>
    </row>
    <row r="532" spans="1:14" s="3" customFormat="1" ht="12.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45718.89</v>
      </c>
      <c r="G532" s="18">
        <v>18287.560000000001</v>
      </c>
      <c r="H532" s="18"/>
      <c r="I532" s="18"/>
      <c r="J532" s="18"/>
      <c r="K532" s="18"/>
      <c r="L532" s="88">
        <f>SUM(F532:K532)</f>
        <v>64006.45</v>
      </c>
      <c r="M532" s="8"/>
      <c r="N532" s="271"/>
    </row>
    <row r="533" spans="1:14" s="3" customFormat="1" ht="12.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59673.25</v>
      </c>
      <c r="G533" s="18">
        <v>23869.3</v>
      </c>
      <c r="H533" s="18"/>
      <c r="I533" s="18"/>
      <c r="J533" s="18"/>
      <c r="K533" s="18"/>
      <c r="L533" s="88">
        <f>SUM(F533:K533)</f>
        <v>83542.55</v>
      </c>
      <c r="M533" s="8"/>
      <c r="N533" s="271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183610</v>
      </c>
      <c r="G534" s="89">
        <f t="shared" ref="G534:L534" si="38">SUM(G531:G533)</f>
        <v>73444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257054</v>
      </c>
      <c r="M534" s="8"/>
      <c r="N534" s="271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1"/>
    </row>
    <row r="536" spans="1:14" s="3" customFormat="1" ht="12.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8596.77</v>
      </c>
      <c r="I536" s="18"/>
      <c r="J536" s="18"/>
      <c r="K536" s="18"/>
      <c r="L536" s="88">
        <f>SUM(F536:K536)</f>
        <v>8596.77</v>
      </c>
      <c r="M536" s="8"/>
      <c r="N536" s="271"/>
    </row>
    <row r="537" spans="1:14" s="3" customFormat="1" ht="12.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5024.87</v>
      </c>
      <c r="I537" s="18"/>
      <c r="J537" s="18"/>
      <c r="K537" s="18"/>
      <c r="L537" s="88">
        <f>SUM(F537:K537)</f>
        <v>5024.87</v>
      </c>
      <c r="M537" s="8"/>
      <c r="N537" s="271"/>
    </row>
    <row r="538" spans="1:14" s="3" customFormat="1" ht="12.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6558.57</v>
      </c>
      <c r="I538" s="18"/>
      <c r="J538" s="18"/>
      <c r="K538" s="18"/>
      <c r="L538" s="88">
        <f>SUM(F538:K538)</f>
        <v>6558.57</v>
      </c>
      <c r="M538" s="8"/>
      <c r="N538" s="271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20180.21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20180.21</v>
      </c>
      <c r="M539" s="8"/>
      <c r="N539" s="271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1"/>
    </row>
    <row r="541" spans="1:14" s="3" customFormat="1" ht="12.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356110.44</v>
      </c>
      <c r="I541" s="18"/>
      <c r="J541" s="18"/>
      <c r="K541" s="18"/>
      <c r="L541" s="88">
        <f>SUM(F541:K541)</f>
        <v>356110.44</v>
      </c>
      <c r="M541" s="8"/>
      <c r="N541" s="271"/>
    </row>
    <row r="542" spans="1:14" s="3" customFormat="1" ht="12.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208149.06</v>
      </c>
      <c r="I542" s="18"/>
      <c r="J542" s="18"/>
      <c r="K542" s="18"/>
      <c r="L542" s="88">
        <f>SUM(F542:K542)</f>
        <v>208149.06</v>
      </c>
      <c r="M542" s="8"/>
      <c r="N542" s="271"/>
    </row>
    <row r="543" spans="1:14" s="3" customFormat="1" ht="12.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271680.5</v>
      </c>
      <c r="I543" s="18"/>
      <c r="J543" s="18"/>
      <c r="K543" s="18"/>
      <c r="L543" s="88">
        <f>SUM(F543:K543)</f>
        <v>271680.5</v>
      </c>
      <c r="M543" s="8"/>
      <c r="N543" s="271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835940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835940</v>
      </c>
      <c r="M544" s="8"/>
      <c r="N544" s="271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6504193.5550000006</v>
      </c>
      <c r="G545" s="89">
        <f t="shared" ref="G545:L545" si="41">G524+G529+G534+G539+G544</f>
        <v>2064427.8149999999</v>
      </c>
      <c r="H545" s="89">
        <f t="shared" si="41"/>
        <v>3552093.3049999997</v>
      </c>
      <c r="I545" s="89">
        <f t="shared" si="41"/>
        <v>52024.039999999994</v>
      </c>
      <c r="J545" s="89">
        <f t="shared" si="41"/>
        <v>10657.09</v>
      </c>
      <c r="K545" s="89">
        <f t="shared" si="41"/>
        <v>1435.0099999999998</v>
      </c>
      <c r="L545" s="89">
        <f t="shared" si="41"/>
        <v>12184830.814999999</v>
      </c>
      <c r="M545" s="8"/>
      <c r="N545" s="271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1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1"/>
    </row>
    <row r="549" spans="1:14" s="3" customFormat="1" ht="12.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3574115.2149999999</v>
      </c>
      <c r="G549" s="87">
        <f>L526</f>
        <v>1437704.1</v>
      </c>
      <c r="H549" s="87">
        <f>L531</f>
        <v>109505</v>
      </c>
      <c r="I549" s="87">
        <f>L536</f>
        <v>8596.77</v>
      </c>
      <c r="J549" s="87">
        <f>L541</f>
        <v>356110.44</v>
      </c>
      <c r="K549" s="87">
        <f>SUM(F549:J549)</f>
        <v>5486031.5249999994</v>
      </c>
      <c r="L549" s="24" t="s">
        <v>288</v>
      </c>
      <c r="M549" s="8"/>
      <c r="N549" s="271"/>
    </row>
    <row r="550" spans="1:14" s="3" customFormat="1" ht="12.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1915525</v>
      </c>
      <c r="G550" s="87">
        <f>L527</f>
        <v>258711.03</v>
      </c>
      <c r="H550" s="87">
        <f>L532</f>
        <v>64006.45</v>
      </c>
      <c r="I550" s="87">
        <f>L537</f>
        <v>5024.87</v>
      </c>
      <c r="J550" s="87">
        <f>L542</f>
        <v>208149.06</v>
      </c>
      <c r="K550" s="87">
        <f>SUM(F550:J550)</f>
        <v>2451416.41</v>
      </c>
      <c r="L550" s="24" t="s">
        <v>288</v>
      </c>
      <c r="M550" s="8"/>
      <c r="N550" s="271"/>
    </row>
    <row r="551" spans="1:14" s="3" customFormat="1" ht="12.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3120970.7099999995</v>
      </c>
      <c r="G551" s="87">
        <f>L528</f>
        <v>764630.55</v>
      </c>
      <c r="H551" s="87">
        <f>L533</f>
        <v>83542.55</v>
      </c>
      <c r="I551" s="87">
        <f>L538</f>
        <v>6558.57</v>
      </c>
      <c r="J551" s="87">
        <f>L543</f>
        <v>271680.5</v>
      </c>
      <c r="K551" s="87">
        <f>SUM(F551:J551)</f>
        <v>4247382.879999999</v>
      </c>
      <c r="L551" s="24" t="s">
        <v>288</v>
      </c>
      <c r="M551" s="8"/>
      <c r="N551" s="271"/>
    </row>
    <row r="552" spans="1:14" s="3" customFormat="1" ht="12.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8610610.9249999989</v>
      </c>
      <c r="G552" s="89">
        <f t="shared" si="42"/>
        <v>2461045.6800000002</v>
      </c>
      <c r="H552" s="89">
        <f t="shared" si="42"/>
        <v>257054</v>
      </c>
      <c r="I552" s="89">
        <f t="shared" si="42"/>
        <v>20180.21</v>
      </c>
      <c r="J552" s="89">
        <f t="shared" si="42"/>
        <v>835940</v>
      </c>
      <c r="K552" s="89">
        <f t="shared" si="42"/>
        <v>12184830.814999998</v>
      </c>
      <c r="L552" s="24"/>
      <c r="M552" s="8"/>
      <c r="N552" s="271"/>
    </row>
    <row r="553" spans="1:14" s="3" customFormat="1" ht="12.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.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1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1"/>
    </row>
    <row r="557" spans="1:14" s="3" customFormat="1" ht="12.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.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.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1"/>
    </row>
    <row r="562" spans="1:14" s="3" customFormat="1" ht="12.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111157.95</v>
      </c>
      <c r="G562" s="18">
        <v>300.05</v>
      </c>
      <c r="H562" s="18">
        <v>1639.46</v>
      </c>
      <c r="I562" s="18">
        <v>1260.9000000000001</v>
      </c>
      <c r="J562" s="18">
        <v>717.38</v>
      </c>
      <c r="K562" s="18"/>
      <c r="L562" s="88">
        <f>SUM(F562:K562)</f>
        <v>115075.74</v>
      </c>
      <c r="M562" s="8"/>
      <c r="N562" s="271"/>
    </row>
    <row r="563" spans="1:14" s="3" customFormat="1" ht="12.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64972.6</v>
      </c>
      <c r="G563" s="18">
        <v>175.38</v>
      </c>
      <c r="H563" s="18">
        <v>958.28</v>
      </c>
      <c r="I563" s="18">
        <v>737</v>
      </c>
      <c r="J563" s="18">
        <v>419.32</v>
      </c>
      <c r="K563" s="18"/>
      <c r="L563" s="88">
        <f>SUM(F563:K563)</f>
        <v>67262.58</v>
      </c>
      <c r="M563" s="8"/>
      <c r="N563" s="271"/>
    </row>
    <row r="564" spans="1:14" s="3" customFormat="1" ht="12.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84803.6</v>
      </c>
      <c r="G564" s="18">
        <v>228.91</v>
      </c>
      <c r="H564" s="18">
        <v>1250.76</v>
      </c>
      <c r="I564" s="18">
        <v>961.95</v>
      </c>
      <c r="J564" s="18">
        <v>547.29999999999995</v>
      </c>
      <c r="K564" s="18"/>
      <c r="L564" s="88">
        <f>SUM(F564:K564)</f>
        <v>87792.52</v>
      </c>
      <c r="M564" s="8"/>
      <c r="N564" s="271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260934.15</v>
      </c>
      <c r="G565" s="89">
        <f t="shared" si="44"/>
        <v>704.34</v>
      </c>
      <c r="H565" s="89">
        <f t="shared" si="44"/>
        <v>3848.5</v>
      </c>
      <c r="I565" s="89">
        <f t="shared" si="44"/>
        <v>2959.8500000000004</v>
      </c>
      <c r="J565" s="89">
        <f t="shared" si="44"/>
        <v>1684</v>
      </c>
      <c r="K565" s="89">
        <f t="shared" si="44"/>
        <v>0</v>
      </c>
      <c r="L565" s="89">
        <f t="shared" si="44"/>
        <v>270130.84000000003</v>
      </c>
      <c r="M565" s="8"/>
      <c r="N565" s="271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1"/>
    </row>
    <row r="567" spans="1:14" s="3" customFormat="1" ht="12.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.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.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1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260934.15</v>
      </c>
      <c r="G571" s="89">
        <f t="shared" ref="G571:L571" si="46">G560+G565+G570</f>
        <v>704.34</v>
      </c>
      <c r="H571" s="89">
        <f t="shared" si="46"/>
        <v>3848.5</v>
      </c>
      <c r="I571" s="89">
        <f t="shared" si="46"/>
        <v>2959.8500000000004</v>
      </c>
      <c r="J571" s="89">
        <f t="shared" si="46"/>
        <v>1684</v>
      </c>
      <c r="K571" s="89">
        <f t="shared" si="46"/>
        <v>0</v>
      </c>
      <c r="L571" s="89">
        <f t="shared" si="46"/>
        <v>270130.84000000003</v>
      </c>
      <c r="M571" s="8"/>
      <c r="N571" s="271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.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1"/>
    </row>
    <row r="575" spans="1:14" s="3" customFormat="1" ht="12.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1"/>
    </row>
    <row r="576" spans="1:14" s="3" customFormat="1" ht="12.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1"/>
    </row>
    <row r="577" spans="1:14" s="3" customFormat="1" ht="12.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1"/>
    </row>
    <row r="578" spans="1:14" s="3" customFormat="1" ht="12.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1"/>
    </row>
    <row r="579" spans="1:14" s="3" customFormat="1" ht="12.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19444.2</v>
      </c>
      <c r="G579" s="18"/>
      <c r="H579" s="18">
        <v>107916.88</v>
      </c>
      <c r="I579" s="87">
        <f t="shared" si="47"/>
        <v>127361.08</v>
      </c>
      <c r="J579" s="24" t="s">
        <v>288</v>
      </c>
      <c r="K579" s="24" t="s">
        <v>288</v>
      </c>
      <c r="L579" s="24" t="s">
        <v>288</v>
      </c>
      <c r="M579" s="8"/>
      <c r="N579" s="271"/>
    </row>
    <row r="580" spans="1:14" s="3" customFormat="1" ht="12.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1"/>
    </row>
    <row r="581" spans="1:14" s="3" customFormat="1" ht="12.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1"/>
    </row>
    <row r="582" spans="1:14" s="3" customFormat="1" ht="12.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24192</v>
      </c>
      <c r="G582" s="18">
        <v>214754.69</v>
      </c>
      <c r="H582" s="18">
        <v>1206949.26</v>
      </c>
      <c r="I582" s="87">
        <f t="shared" si="47"/>
        <v>1445895.95</v>
      </c>
      <c r="J582" s="24" t="s">
        <v>288</v>
      </c>
      <c r="K582" s="24" t="s">
        <v>288</v>
      </c>
      <c r="L582" s="24" t="s">
        <v>288</v>
      </c>
      <c r="M582" s="8"/>
      <c r="N582" s="271"/>
    </row>
    <row r="583" spans="1:14" s="3" customFormat="1" ht="12.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418825.23</v>
      </c>
      <c r="I583" s="87">
        <f t="shared" si="47"/>
        <v>418825.23</v>
      </c>
      <c r="J583" s="24" t="s">
        <v>288</v>
      </c>
      <c r="K583" s="24" t="s">
        <v>288</v>
      </c>
      <c r="L583" s="24" t="s">
        <v>288</v>
      </c>
      <c r="M583" s="8"/>
      <c r="N583" s="271"/>
    </row>
    <row r="584" spans="1:14" s="3" customFormat="1" ht="12.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1"/>
    </row>
    <row r="585" spans="1:14" s="3" customFormat="1" ht="12.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1"/>
    </row>
    <row r="586" spans="1:14" s="3" customFormat="1" ht="12.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>
        <v>9942.4500000000007</v>
      </c>
      <c r="I586" s="87">
        <f t="shared" si="47"/>
        <v>9942.4500000000007</v>
      </c>
      <c r="J586" s="24" t="s">
        <v>288</v>
      </c>
      <c r="K586" s="24" t="s">
        <v>288</v>
      </c>
      <c r="L586" s="24" t="s">
        <v>288</v>
      </c>
      <c r="M586" s="8"/>
      <c r="N586" s="271"/>
    </row>
    <row r="587" spans="1:14" s="3" customFormat="1" ht="12.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1"/>
    </row>
    <row r="588" spans="1:14" s="3" customFormat="1" ht="12.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.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.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799951.74</v>
      </c>
      <c r="I591" s="18">
        <f>467577.43</f>
        <v>467577.43</v>
      </c>
      <c r="J591" s="18">
        <v>610291.81999999995</v>
      </c>
      <c r="K591" s="104">
        <f t="shared" ref="K591:K597" si="48">SUM(H591:J591)</f>
        <v>1877820.9899999998</v>
      </c>
      <c r="L591" s="24" t="s">
        <v>288</v>
      </c>
      <c r="M591" s="8"/>
      <c r="N591" s="271"/>
    </row>
    <row r="592" spans="1:14" s="3" customFormat="1" ht="12.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329620.17</v>
      </c>
      <c r="I592" s="18">
        <v>192665.31</v>
      </c>
      <c r="J592" s="18">
        <v>251470.79</v>
      </c>
      <c r="K592" s="104">
        <f t="shared" si="48"/>
        <v>773756.27</v>
      </c>
      <c r="L592" s="24" t="s">
        <v>288</v>
      </c>
      <c r="M592" s="8"/>
      <c r="N592" s="271"/>
    </row>
    <row r="593" spans="1:14" s="3" customFormat="1" ht="12.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12136.1</v>
      </c>
      <c r="K593" s="104">
        <f t="shared" si="48"/>
        <v>12136.1</v>
      </c>
      <c r="L593" s="24" t="s">
        <v>288</v>
      </c>
      <c r="M593" s="8"/>
      <c r="N593" s="271"/>
    </row>
    <row r="594" spans="1:14" s="3" customFormat="1" ht="12.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8361.07</v>
      </c>
      <c r="J594" s="18">
        <v>49323.360000000001</v>
      </c>
      <c r="K594" s="104">
        <f t="shared" si="48"/>
        <v>57684.43</v>
      </c>
      <c r="L594" s="24" t="s">
        <v>288</v>
      </c>
      <c r="M594" s="8"/>
      <c r="N594" s="271"/>
    </row>
    <row r="595" spans="1:14" s="3" customFormat="1" ht="12.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>
        <v>1620</v>
      </c>
      <c r="J595" s="18">
        <v>19038.2</v>
      </c>
      <c r="K595" s="104">
        <f t="shared" si="48"/>
        <v>20658.2</v>
      </c>
      <c r="L595" s="24" t="s">
        <v>288</v>
      </c>
      <c r="M595" s="8"/>
      <c r="N595" s="271"/>
    </row>
    <row r="596" spans="1:14" s="3" customFormat="1" ht="12.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1"/>
    </row>
    <row r="597" spans="1:14" s="3" customFormat="1" ht="12.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1"/>
    </row>
    <row r="598" spans="1:14" s="3" customFormat="1" ht="12.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1129571.9099999999</v>
      </c>
      <c r="I598" s="108">
        <f>SUM(I591:I597)</f>
        <v>670223.80999999994</v>
      </c>
      <c r="J598" s="108">
        <f>SUM(J591:J597)</f>
        <v>942260.2699999999</v>
      </c>
      <c r="K598" s="108">
        <f>SUM(K591:K597)</f>
        <v>2742055.99</v>
      </c>
      <c r="L598" s="24" t="s">
        <v>288</v>
      </c>
      <c r="M598" s="8"/>
      <c r="N598" s="271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.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1"/>
    </row>
    <row r="603" spans="1:14" s="3" customFormat="1" ht="12.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1"/>
    </row>
    <row r="604" spans="1:14" s="3" customFormat="1" ht="12.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184946.06</v>
      </c>
      <c r="I604" s="18">
        <v>97420.89</v>
      </c>
      <c r="J604" s="18">
        <v>251671.2</v>
      </c>
      <c r="K604" s="104">
        <f>SUM(H604:J604)</f>
        <v>534038.15</v>
      </c>
      <c r="L604" s="24" t="s">
        <v>288</v>
      </c>
      <c r="M604" s="8"/>
      <c r="N604" s="271"/>
    </row>
    <row r="605" spans="1:14" s="3" customFormat="1" ht="12.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184946.06</v>
      </c>
      <c r="I605" s="108">
        <f>SUM(I602:I604)</f>
        <v>97420.89</v>
      </c>
      <c r="J605" s="108">
        <f>SUM(J602:J604)</f>
        <v>251671.2</v>
      </c>
      <c r="K605" s="108">
        <f>SUM(K602:K604)</f>
        <v>534038.15</v>
      </c>
      <c r="L605" s="24" t="s">
        <v>288</v>
      </c>
      <c r="M605" s="8"/>
      <c r="N605" s="271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.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.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1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.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17605.080000000002</v>
      </c>
      <c r="G611" s="18">
        <v>156.38</v>
      </c>
      <c r="H611" s="18">
        <v>999</v>
      </c>
      <c r="I611" s="18">
        <v>5320.63</v>
      </c>
      <c r="J611" s="18"/>
      <c r="K611" s="18"/>
      <c r="L611" s="88">
        <f>SUM(F611:K611)</f>
        <v>24081.090000000004</v>
      </c>
      <c r="M611" s="8"/>
      <c r="N611" s="271"/>
    </row>
    <row r="612" spans="1:14" s="3" customFormat="1" ht="12.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16869.990000000002</v>
      </c>
      <c r="G612" s="18">
        <v>1379.76</v>
      </c>
      <c r="H612" s="18">
        <v>483.14</v>
      </c>
      <c r="I612" s="18">
        <v>2953.65</v>
      </c>
      <c r="J612" s="18"/>
      <c r="K612" s="18"/>
      <c r="L612" s="88">
        <f>SUM(F612:K612)</f>
        <v>21686.54</v>
      </c>
      <c r="M612" s="8"/>
      <c r="N612" s="271"/>
    </row>
    <row r="613" spans="1:14" s="3" customFormat="1" ht="12.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12206.64</v>
      </c>
      <c r="G613" s="18"/>
      <c r="H613" s="18"/>
      <c r="I613" s="18">
        <v>2077.08</v>
      </c>
      <c r="J613" s="18"/>
      <c r="K613" s="18"/>
      <c r="L613" s="88">
        <f>SUM(F613:K613)</f>
        <v>14283.72</v>
      </c>
      <c r="M613" s="8"/>
      <c r="N613" s="271"/>
    </row>
    <row r="614" spans="1:14" s="3" customFormat="1" ht="12.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46681.710000000006</v>
      </c>
      <c r="G614" s="108">
        <f t="shared" si="49"/>
        <v>1536.1399999999999</v>
      </c>
      <c r="H614" s="108">
        <f t="shared" si="49"/>
        <v>1482.1399999999999</v>
      </c>
      <c r="I614" s="108">
        <f t="shared" si="49"/>
        <v>10351.36</v>
      </c>
      <c r="J614" s="108">
        <f t="shared" si="49"/>
        <v>0</v>
      </c>
      <c r="K614" s="108">
        <f t="shared" si="49"/>
        <v>0</v>
      </c>
      <c r="L614" s="89">
        <f t="shared" si="49"/>
        <v>60051.350000000006</v>
      </c>
      <c r="M614" s="8"/>
      <c r="N614" s="271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2444577.88</v>
      </c>
      <c r="H617" s="109">
        <f>SUM(F52)</f>
        <v>2444577.88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112720.32000000001</v>
      </c>
      <c r="H618" s="109">
        <f>SUM(G52)</f>
        <v>112720.32000000001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535893.21</v>
      </c>
      <c r="H619" s="109">
        <f>SUM(H52)</f>
        <v>535893.21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20658033.379999999</v>
      </c>
      <c r="H620" s="109">
        <f>SUM(I52)</f>
        <v>20658033.379999999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198558.68</v>
      </c>
      <c r="H621" s="109">
        <f>SUM(J52)</f>
        <v>198558.68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1945806.38</v>
      </c>
      <c r="H622" s="109">
        <f>F476</f>
        <v>1945806.3799999952</v>
      </c>
      <c r="I622" s="121" t="s">
        <v>101</v>
      </c>
      <c r="J622" s="109">
        <f t="shared" ref="J622:J655" si="50">G622-H622</f>
        <v>4.6566128730773926E-9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108115.63</v>
      </c>
      <c r="H623" s="109">
        <f>G476</f>
        <v>108115.62999999989</v>
      </c>
      <c r="I623" s="121" t="s">
        <v>102</v>
      </c>
      <c r="J623" s="109">
        <f t="shared" si="50"/>
        <v>1.1641532182693481E-10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168859.12</v>
      </c>
      <c r="H624" s="109">
        <f>H476</f>
        <v>168859.12000000011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20628075.579999994</v>
      </c>
      <c r="H625" s="109">
        <f>I476</f>
        <v>20628075.579999998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198558.68</v>
      </c>
      <c r="H626" s="109">
        <f>J476</f>
        <v>198558.68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62993818.799999997</v>
      </c>
      <c r="H627" s="104">
        <f>SUM(F468)</f>
        <v>62993818.799999997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1402625.9400000002</v>
      </c>
      <c r="H628" s="104">
        <f>SUM(G468)</f>
        <v>1402625.94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1835656.3299999998</v>
      </c>
      <c r="H629" s="104">
        <f>SUM(H468)</f>
        <v>1835656.33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21234156.050000001</v>
      </c>
      <c r="H630" s="104">
        <f>SUM(I468)</f>
        <v>21234156.050000001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22075.52</v>
      </c>
      <c r="H631" s="104">
        <f>SUM(J468)</f>
        <v>22075.52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63419102.608000003</v>
      </c>
      <c r="H632" s="104">
        <f>SUM(F472)</f>
        <v>63419102.609999999</v>
      </c>
      <c r="I632" s="140" t="s">
        <v>111</v>
      </c>
      <c r="J632" s="109">
        <f t="shared" si="50"/>
        <v>-1.9999966025352478E-3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1837338.4209999999</v>
      </c>
      <c r="H633" s="104">
        <f>SUM(H472)</f>
        <v>1837338.42</v>
      </c>
      <c r="I633" s="140" t="s">
        <v>112</v>
      </c>
      <c r="J633" s="109">
        <f>G633-H633</f>
        <v>9.9999993108212948E-4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582348.97</v>
      </c>
      <c r="H634" s="104">
        <f>I369</f>
        <v>582348.97000000009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1367551.79</v>
      </c>
      <c r="H635" s="104">
        <f>SUM(G472)</f>
        <v>1367551.79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23980617.670000006</v>
      </c>
      <c r="H636" s="104">
        <f>SUM(I472)</f>
        <v>23980617.670000002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22075.520000000004</v>
      </c>
      <c r="H637" s="164">
        <f>SUM(J468)</f>
        <v>22075.52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8900</v>
      </c>
      <c r="H638" s="164">
        <f>SUM(J472)</f>
        <v>8900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29716.14</v>
      </c>
      <c r="H639" s="104">
        <f>SUM(F461)</f>
        <v>29716.14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168842.54</v>
      </c>
      <c r="H640" s="104">
        <f>SUM(G461)</f>
        <v>168842.54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198558.68</v>
      </c>
      <c r="H642" s="104">
        <f>SUM(I461)</f>
        <v>198558.68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440.07</v>
      </c>
      <c r="H644" s="104">
        <f>H408</f>
        <v>440.07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22075.52</v>
      </c>
      <c r="H646" s="104">
        <f>L408</f>
        <v>22075.520000000004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2742055.99</v>
      </c>
      <c r="H647" s="104">
        <f>L208+L226+L244</f>
        <v>2742055.99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534038.15</v>
      </c>
      <c r="H648" s="104">
        <f>(J257+J338)-(J255+J336)</f>
        <v>534038.15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1129571.9099999999</v>
      </c>
      <c r="H649" s="104">
        <f>H598</f>
        <v>1129571.9099999999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670223.81000000006</v>
      </c>
      <c r="H650" s="104">
        <f>I598</f>
        <v>670223.80999999994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942260.27</v>
      </c>
      <c r="H651" s="104">
        <f>J598</f>
        <v>942260.2699999999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-9.9995732307434082E-4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.2" customHeight="1" x14ac:dyDescent="0.15">
      <c r="A659" s="273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23510724.551679999</v>
      </c>
      <c r="G660" s="19">
        <f>(L229+L309+L359)</f>
        <v>12417767.258820005</v>
      </c>
      <c r="H660" s="19">
        <f>(L247+L328+L360)</f>
        <v>22716358.058499999</v>
      </c>
      <c r="I660" s="19">
        <f>SUM(F660:H660)</f>
        <v>58644849.869000003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362611.20283710433</v>
      </c>
      <c r="G661" s="19">
        <f>(L359/IF(SUM(L358:L360)=0,1,SUM(L358:L360))*(SUM(G97:G110)))</f>
        <v>236769.85789577541</v>
      </c>
      <c r="H661" s="19">
        <f>(L360/IF(SUM(L358:L360)=0,1,SUM(L358:L360))*(SUM(G97:G110)))</f>
        <v>459153.51926712028</v>
      </c>
      <c r="I661" s="19">
        <f>SUM(F661:H661)</f>
        <v>1058534.58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1133647.4099999999</v>
      </c>
      <c r="G662" s="19">
        <f>(L226+L306)-(J226+J306)</f>
        <v>677590.2300000001</v>
      </c>
      <c r="H662" s="19">
        <f>(L244+L325)-(J244+J325)</f>
        <v>945369.52</v>
      </c>
      <c r="I662" s="19">
        <f>SUM(F662:H662)</f>
        <v>2756607.16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252663.35</v>
      </c>
      <c r="G663" s="199">
        <f>SUM(G575:G587)+SUM(I602:I604)+L612</f>
        <v>333862.12</v>
      </c>
      <c r="H663" s="199">
        <f>SUM(H575:H587)+SUM(J602:J604)+L613</f>
        <v>2009588.74</v>
      </c>
      <c r="I663" s="19">
        <f>SUM(F663:H663)</f>
        <v>2596114.21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21761802.588842895</v>
      </c>
      <c r="G664" s="19">
        <f>G660-SUM(G661:G663)</f>
        <v>11169545.05092423</v>
      </c>
      <c r="H664" s="19">
        <f>H660-SUM(H661:H663)</f>
        <v>19302246.279232878</v>
      </c>
      <c r="I664" s="19">
        <f>I660-SUM(I661:I663)</f>
        <v>52233593.919</v>
      </c>
      <c r="J664" s="13"/>
      <c r="K664" s="13"/>
      <c r="L664" s="13"/>
      <c r="M664" s="9"/>
    </row>
    <row r="665" spans="1:13" s="3" customFormat="1" ht="12.2" customHeight="1" x14ac:dyDescent="0.15">
      <c r="A665" s="1" t="s">
        <v>131</v>
      </c>
      <c r="F665" s="247">
        <v>1487.47</v>
      </c>
      <c r="G665" s="247">
        <v>877.13</v>
      </c>
      <c r="H665" s="247">
        <v>1133.48</v>
      </c>
      <c r="I665" s="19">
        <f>SUM(F665:H665)</f>
        <v>3498.08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14630.08</v>
      </c>
      <c r="G667" s="19">
        <f>ROUND(G664/G665,2)</f>
        <v>12734.2</v>
      </c>
      <c r="H667" s="19">
        <f>ROUND(H664/H665,2)</f>
        <v>17029.189999999999</v>
      </c>
      <c r="I667" s="19">
        <f>ROUND(I664/I665,2)</f>
        <v>14932.08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20.34</v>
      </c>
      <c r="I670" s="19">
        <f>SUM(F670:H670)</f>
        <v>20.34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14630.08</v>
      </c>
      <c r="G672" s="19">
        <f>ROUND((G664+G669)/(G665+G670),2)</f>
        <v>12734.2</v>
      </c>
      <c r="H672" s="19">
        <f>ROUND((H664+H669)/(H665+H670),2)</f>
        <v>16728.990000000002</v>
      </c>
      <c r="I672" s="19">
        <f>ROUND((I664+I669)/(I665+I670),2)</f>
        <v>14845.75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customSheetViews>
    <customSheetView guid="{CDAFBD17-E7A5-4853-A8D7-38152A835D44}" showPageBreaks="1" printArea="1" hiddenColumns="1">
      <pane xSplit="5" ySplit="3" topLeftCell="F4" activePane="bottomRight" state="frozen"/>
      <selection pane="bottomRight" activeCell="A6" sqref="A6"/>
      <rowBreaks count="24" manualBreakCount="24">
        <brk id="52" max="16383" man="1"/>
        <brk id="79" max="11" man="1"/>
        <brk id="112" max="11" man="1"/>
        <brk id="140" max="9" man="1"/>
        <brk id="169" max="9" man="1"/>
        <brk id="193" max="9" man="1"/>
        <brk id="211" max="9" man="1"/>
        <brk id="229" max="9" man="1"/>
        <brk id="247" max="9" man="1"/>
        <brk id="271" max="9" man="1"/>
        <brk id="290" max="9" man="1"/>
        <brk id="309" max="9" man="1"/>
        <brk id="328" max="9" man="1"/>
        <brk id="352" max="11" man="1"/>
        <brk id="382" max="11" man="1"/>
        <brk id="408" max="11" man="1"/>
        <brk id="434" max="11" man="1"/>
        <brk id="461" max="11" man="1"/>
        <brk id="485" max="11" man="1"/>
        <brk id="517" max="9" man="1"/>
        <brk id="552" max="11" man="1"/>
        <brk id="588" max="11" man="1"/>
        <brk id="615" max="9" man="1"/>
        <brk id="656" max="9" man="1"/>
      </rowBreaks>
      <pageMargins left="0.3" right="0.3" top="0.37" bottom="0.53" header="0.2" footer="0.5"/>
      <printOptions gridLines="1"/>
      <pageSetup scale="90" orientation="landscape" r:id="rId1"/>
      <headerFooter alignWithMargins="0">
        <oddHeader xml:space="preserve">&amp;CDOE 25 for 2016-2017
</oddHeader>
        <oddFooter>&amp;L&amp;F&amp;CPage &amp;P&amp;R&amp;D&amp;T</oddFooter>
      </headerFooter>
    </customSheetView>
    <customSheetView guid="{DA0E624A-FB3C-4DF0-A249-99C5F3EDDBF5}" showPageBreaks="1" printArea="1" hiddenColumns="1">
      <pane xSplit="5" ySplit="3" topLeftCell="F589" activePane="bottomRight" state="frozen"/>
      <selection pane="bottomRight" activeCell="I614" sqref="I614"/>
      <rowBreaks count="24" manualBreakCount="24">
        <brk id="52" max="16383" man="1"/>
        <brk id="79" max="11" man="1"/>
        <brk id="112" max="11" man="1"/>
        <brk id="140" max="9" man="1"/>
        <brk id="169" max="9" man="1"/>
        <brk id="193" max="9" man="1"/>
        <brk id="211" max="9" man="1"/>
        <brk id="229" max="9" man="1"/>
        <brk id="247" max="9" man="1"/>
        <brk id="271" max="9" man="1"/>
        <brk id="290" max="9" man="1"/>
        <brk id="309" max="9" man="1"/>
        <brk id="328" max="9" man="1"/>
        <brk id="352" max="11" man="1"/>
        <brk id="382" max="11" man="1"/>
        <brk id="408" max="11" man="1"/>
        <brk id="434" max="11" man="1"/>
        <brk id="461" max="11" man="1"/>
        <brk id="485" max="11" man="1"/>
        <brk id="517" max="9" man="1"/>
        <brk id="552" max="11" man="1"/>
        <brk id="588" max="11" man="1"/>
        <brk id="615" max="9" man="1"/>
        <brk id="656" max="9" man="1"/>
      </rowBreaks>
      <pageMargins left="0.3" right="0.3" top="0.75" bottom="0.5" header="0.5" footer="0.5"/>
      <printOptions gridLines="1"/>
      <pageSetup scale="90" orientation="landscape" r:id="rId2"/>
      <headerFooter alignWithMargins="0">
        <oddHeader xml:space="preserve">&amp;CDOE 25 for 2016-2017
</oddHeader>
        <oddFooter>&amp;L&amp;F&amp;CPage &amp;P&amp;R&amp;D&amp;T</oddFooter>
      </headerFooter>
    </customSheetView>
  </customSheetViews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37" bottom="0.53" header="0.2" footer="0.5"/>
  <pageSetup scale="90" orientation="landscape" r:id="rId3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Salem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9" t="s">
        <v>783</v>
      </c>
      <c r="B3" s="279"/>
      <c r="C3" s="279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782</v>
      </c>
      <c r="C6" s="278"/>
    </row>
    <row r="7" spans="1:3" x14ac:dyDescent="0.2">
      <c r="A7" s="239" t="s">
        <v>785</v>
      </c>
      <c r="B7" s="276" t="s">
        <v>781</v>
      </c>
      <c r="C7" s="277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17232004.594000001</v>
      </c>
      <c r="C9" s="229">
        <f>'DOE25'!G197+'DOE25'!G215+'DOE25'!G233+'DOE25'!G276+'DOE25'!G295+'DOE25'!G314</f>
        <v>7882805.4249999998</v>
      </c>
    </row>
    <row r="10" spans="1:3" x14ac:dyDescent="0.2">
      <c r="A10" t="s">
        <v>778</v>
      </c>
      <c r="B10" s="240">
        <f>15912384.2+0.004</f>
        <v>15912384.204</v>
      </c>
      <c r="C10" s="240">
        <f>7279143.16+0.01-0.005</f>
        <v>7279143.165</v>
      </c>
    </row>
    <row r="11" spans="1:3" x14ac:dyDescent="0.2">
      <c r="A11" t="s">
        <v>779</v>
      </c>
      <c r="B11" s="240">
        <v>790970.39</v>
      </c>
      <c r="C11" s="240">
        <v>361830.55</v>
      </c>
    </row>
    <row r="12" spans="1:3" x14ac:dyDescent="0.2">
      <c r="A12" t="s">
        <v>780</v>
      </c>
      <c r="B12" s="240">
        <v>528650</v>
      </c>
      <c r="C12" s="240">
        <v>241831.71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17232004.594000001</v>
      </c>
      <c r="C13" s="231">
        <f>SUM(C10:C12)</f>
        <v>7882805.4249999998</v>
      </c>
    </row>
    <row r="14" spans="1:3" x14ac:dyDescent="0.2">
      <c r="B14" s="230"/>
      <c r="C14" s="230"/>
    </row>
    <row r="15" spans="1:3" x14ac:dyDescent="0.2">
      <c r="B15" s="278" t="s">
        <v>782</v>
      </c>
      <c r="C15" s="278"/>
    </row>
    <row r="16" spans="1:3" x14ac:dyDescent="0.2">
      <c r="A16" s="239" t="s">
        <v>786</v>
      </c>
      <c r="B16" s="276" t="s">
        <v>706</v>
      </c>
      <c r="C16" s="277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5695502.9670000002</v>
      </c>
      <c r="C18" s="229">
        <f>'DOE25'!G198+'DOE25'!G216+'DOE25'!G234+'DOE25'!G277+'DOE25'!G296+'DOE25'!G315</f>
        <v>2079910.3149999999</v>
      </c>
    </row>
    <row r="19" spans="1:3" x14ac:dyDescent="0.2">
      <c r="A19" t="s">
        <v>778</v>
      </c>
      <c r="B19" s="240">
        <f>2437863.4-0.023</f>
        <v>2437863.3769999999</v>
      </c>
      <c r="C19" s="240">
        <f>890270.32-0.015</f>
        <v>890270.30499999993</v>
      </c>
    </row>
    <row r="20" spans="1:3" x14ac:dyDescent="0.2">
      <c r="A20" t="s">
        <v>779</v>
      </c>
      <c r="B20" s="240">
        <f>2302708.62</f>
        <v>2302708.62</v>
      </c>
      <c r="C20" s="240">
        <f>840913.87</f>
        <v>840913.87</v>
      </c>
    </row>
    <row r="21" spans="1:3" x14ac:dyDescent="0.2">
      <c r="A21" t="s">
        <v>780</v>
      </c>
      <c r="B21" s="240">
        <f>954930.97</f>
        <v>954930.97</v>
      </c>
      <c r="C21" s="240">
        <f>348726.14</f>
        <v>348726.14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5695502.9669999992</v>
      </c>
      <c r="C22" s="231">
        <f>SUM(C19:C21)</f>
        <v>2079910.3149999999</v>
      </c>
    </row>
    <row r="23" spans="1:3" x14ac:dyDescent="0.2">
      <c r="B23" s="230"/>
      <c r="C23" s="230"/>
    </row>
    <row r="24" spans="1:3" x14ac:dyDescent="0.2">
      <c r="B24" s="278" t="s">
        <v>782</v>
      </c>
      <c r="C24" s="278"/>
    </row>
    <row r="25" spans="1:3" x14ac:dyDescent="0.2">
      <c r="A25" s="239" t="s">
        <v>787</v>
      </c>
      <c r="B25" s="276" t="s">
        <v>707</v>
      </c>
      <c r="C25" s="277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1036889.23</v>
      </c>
      <c r="C27" s="234">
        <f>'DOE25'!G199+'DOE25'!G217+'DOE25'!G235+'DOE25'!G278+'DOE25'!G297+'DOE25'!G316</f>
        <v>480429.11</v>
      </c>
    </row>
    <row r="28" spans="1:3" x14ac:dyDescent="0.2">
      <c r="A28" t="s">
        <v>778</v>
      </c>
      <c r="B28" s="240">
        <v>720944.18</v>
      </c>
      <c r="C28" s="240">
        <f>334040.09-0.01</f>
        <v>334040.08</v>
      </c>
    </row>
    <row r="29" spans="1:3" x14ac:dyDescent="0.2">
      <c r="A29" t="s">
        <v>779</v>
      </c>
      <c r="B29" s="240">
        <v>184330.33</v>
      </c>
      <c r="C29" s="240">
        <v>85407.06</v>
      </c>
    </row>
    <row r="30" spans="1:3" x14ac:dyDescent="0.2">
      <c r="A30" t="s">
        <v>780</v>
      </c>
      <c r="B30" s="240">
        <v>131614.72</v>
      </c>
      <c r="C30" s="240">
        <v>60981.97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1036889.23</v>
      </c>
      <c r="C31" s="231">
        <f>SUM(C28:C30)</f>
        <v>480429.11</v>
      </c>
    </row>
    <row r="33" spans="1:3" x14ac:dyDescent="0.2">
      <c r="B33" s="278" t="s">
        <v>782</v>
      </c>
      <c r="C33" s="278"/>
    </row>
    <row r="34" spans="1:3" x14ac:dyDescent="0.2">
      <c r="A34" s="239" t="s">
        <v>788</v>
      </c>
      <c r="B34" s="276" t="s">
        <v>708</v>
      </c>
      <c r="C34" s="277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568308.07499999995</v>
      </c>
      <c r="C36" s="235">
        <f>'DOE25'!G200+'DOE25'!G218+'DOE25'!G236+'DOE25'!G279+'DOE25'!G298+'DOE25'!G317</f>
        <v>154255.64500000002</v>
      </c>
    </row>
    <row r="37" spans="1:3" x14ac:dyDescent="0.2">
      <c r="A37" t="s">
        <v>778</v>
      </c>
      <c r="B37" s="240">
        <f>566703.08-0.005</f>
        <v>566703.07499999995</v>
      </c>
      <c r="C37" s="240">
        <f>153820.01-0.005</f>
        <v>153820.005</v>
      </c>
    </row>
    <row r="38" spans="1:3" x14ac:dyDescent="0.2">
      <c r="A38" t="s">
        <v>779</v>
      </c>
      <c r="B38" s="240">
        <v>1605</v>
      </c>
      <c r="C38" s="240">
        <v>435.64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568308.07499999995</v>
      </c>
      <c r="C40" s="231">
        <f>SUM(C37:C39)</f>
        <v>154255.64500000002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3" t="s">
        <v>777</v>
      </c>
    </row>
    <row r="49" spans="1:1" x14ac:dyDescent="0.2">
      <c r="A49" s="267" t="s">
        <v>843</v>
      </c>
    </row>
    <row r="50" spans="1:1" x14ac:dyDescent="0.2">
      <c r="A50" s="267" t="s">
        <v>837</v>
      </c>
    </row>
    <row r="51" spans="1:1" x14ac:dyDescent="0.2">
      <c r="A51" s="267" t="s">
        <v>844</v>
      </c>
    </row>
    <row r="52" spans="1:1" x14ac:dyDescent="0.2">
      <c r="A52" s="268" t="s">
        <v>839</v>
      </c>
    </row>
  </sheetData>
  <sheetProtection password="AB0A" sheet="1" objects="1" scenarios="1"/>
  <customSheetViews>
    <customSheetView guid="{CDAFBD17-E7A5-4853-A8D7-38152A835D44}">
      <selection activeCell="B11" sqref="B11"/>
      <pageMargins left="1.24" right="0.75" top="1" bottom="1" header="0.5" footer="0.5"/>
      <printOptions gridLines="1"/>
      <pageSetup orientation="portrait" r:id="rId1"/>
      <headerFooter alignWithMargins="0">
        <oddHeader>&amp;C&amp;A
FY2016-2017</oddHeader>
        <oddFooter>&amp;CPage &amp;P of &amp;N</oddFooter>
      </headerFooter>
    </customSheetView>
    <customSheetView guid="{DA0E624A-FB3C-4DF0-A249-99C5F3EDDBF5}">
      <selection activeCell="B4" sqref="B4"/>
      <pageMargins left="1.24" right="0.75" top="1" bottom="1" header="0.5" footer="0.5"/>
      <printOptions gridLines="1"/>
      <pageSetup orientation="portrait" r:id="rId2"/>
      <headerFooter alignWithMargins="0">
        <oddHeader>&amp;C&amp;A
FY2016-2017</oddHeader>
        <oddFooter>&amp;CPage &amp;P of &amp;N</oddFooter>
      </headerFooter>
    </customSheetView>
  </customSheetViews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3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789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716</v>
      </c>
      <c r="B2" s="264" t="str">
        <f>'DOE25'!A2</f>
        <v>Salem School District</v>
      </c>
      <c r="C2" s="181"/>
      <c r="D2" s="181" t="s">
        <v>791</v>
      </c>
      <c r="E2" s="181" t="s">
        <v>793</v>
      </c>
      <c r="F2" s="280" t="s">
        <v>820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0" t="s">
        <v>799</v>
      </c>
      <c r="B4" s="250" t="s">
        <v>815</v>
      </c>
      <c r="C4" s="250" t="s">
        <v>790</v>
      </c>
      <c r="D4" s="250" t="s">
        <v>816</v>
      </c>
      <c r="E4" s="250" t="s">
        <v>816</v>
      </c>
      <c r="F4" s="249" t="s">
        <v>796</v>
      </c>
      <c r="G4" s="250" t="s">
        <v>810</v>
      </c>
      <c r="H4" s="251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37526088.539999999</v>
      </c>
      <c r="D5" s="20">
        <f>SUM('DOE25'!L197:L200)+SUM('DOE25'!L215:L218)+SUM('DOE25'!L233:L236)-F5-G5</f>
        <v>37415978.659999996</v>
      </c>
      <c r="E5" s="243"/>
      <c r="F5" s="254">
        <f>SUM('DOE25'!J197:J200)+SUM('DOE25'!J215:J218)+SUM('DOE25'!J233:J236)</f>
        <v>92718.35</v>
      </c>
      <c r="G5" s="53">
        <f>SUM('DOE25'!K197:K200)+SUM('DOE25'!K215:K218)+SUM('DOE25'!K233:K236)</f>
        <v>17391.53</v>
      </c>
      <c r="H5" s="258"/>
    </row>
    <row r="6" spans="1:9" x14ac:dyDescent="0.2">
      <c r="A6" s="32">
        <v>2100</v>
      </c>
      <c r="B6" t="s">
        <v>800</v>
      </c>
      <c r="C6" s="245">
        <f t="shared" si="0"/>
        <v>4510589.9799999995</v>
      </c>
      <c r="D6" s="20">
        <f>'DOE25'!L202+'DOE25'!L220+'DOE25'!L238-F6-G6</f>
        <v>4509685.9799999995</v>
      </c>
      <c r="E6" s="243"/>
      <c r="F6" s="254">
        <f>'DOE25'!J202+'DOE25'!J220+'DOE25'!J238</f>
        <v>0</v>
      </c>
      <c r="G6" s="53">
        <f>'DOE25'!K202+'DOE25'!K220+'DOE25'!K238</f>
        <v>904</v>
      </c>
      <c r="H6" s="258"/>
    </row>
    <row r="7" spans="1:9" x14ac:dyDescent="0.2">
      <c r="A7" s="32">
        <v>2200</v>
      </c>
      <c r="B7" t="s">
        <v>833</v>
      </c>
      <c r="C7" s="245">
        <f t="shared" si="0"/>
        <v>2175383.96</v>
      </c>
      <c r="D7" s="20">
        <f>'DOE25'!L203+'DOE25'!L221+'DOE25'!L239-F7-G7</f>
        <v>1874488.46</v>
      </c>
      <c r="E7" s="243"/>
      <c r="F7" s="254">
        <f>'DOE25'!J203+'DOE25'!J221+'DOE25'!J239</f>
        <v>300766.5</v>
      </c>
      <c r="G7" s="53">
        <f>'DOE25'!K203+'DOE25'!K221+'DOE25'!K239</f>
        <v>129</v>
      </c>
      <c r="H7" s="258"/>
    </row>
    <row r="8" spans="1:9" x14ac:dyDescent="0.2">
      <c r="A8" s="32">
        <v>2300</v>
      </c>
      <c r="B8" t="s">
        <v>801</v>
      </c>
      <c r="C8" s="245">
        <f t="shared" si="0"/>
        <v>467432.08</v>
      </c>
      <c r="D8" s="243"/>
      <c r="E8" s="20">
        <f>'DOE25'!L204+'DOE25'!L222+'DOE25'!L240-F8-G8-D9-D11</f>
        <v>456145.06</v>
      </c>
      <c r="F8" s="254">
        <f>'DOE25'!J204+'DOE25'!J222+'DOE25'!J240</f>
        <v>0</v>
      </c>
      <c r="G8" s="53">
        <f>'DOE25'!K204+'DOE25'!K222+'DOE25'!K240</f>
        <v>11287.02</v>
      </c>
      <c r="H8" s="258"/>
    </row>
    <row r="9" spans="1:9" x14ac:dyDescent="0.2">
      <c r="A9" s="32">
        <v>2310</v>
      </c>
      <c r="B9" t="s">
        <v>817</v>
      </c>
      <c r="C9" s="245">
        <f t="shared" si="0"/>
        <v>18639.419999999998</v>
      </c>
      <c r="D9" s="244">
        <v>18639.419999999998</v>
      </c>
      <c r="E9" s="243"/>
      <c r="F9" s="257"/>
      <c r="G9" s="255"/>
      <c r="H9" s="258"/>
    </row>
    <row r="10" spans="1:9" x14ac:dyDescent="0.2">
      <c r="A10" s="32">
        <v>2317</v>
      </c>
      <c r="B10" t="s">
        <v>818</v>
      </c>
      <c r="C10" s="245">
        <f t="shared" si="0"/>
        <v>20015.2</v>
      </c>
      <c r="D10" s="243"/>
      <c r="E10" s="244">
        <v>20015.2</v>
      </c>
      <c r="F10" s="257"/>
      <c r="G10" s="255"/>
      <c r="H10" s="258"/>
    </row>
    <row r="11" spans="1:9" x14ac:dyDescent="0.2">
      <c r="A11" s="32">
        <v>2321</v>
      </c>
      <c r="B11" t="s">
        <v>830</v>
      </c>
      <c r="C11" s="245">
        <f t="shared" si="0"/>
        <v>463603.04</v>
      </c>
      <c r="D11" s="244">
        <v>463603.04</v>
      </c>
      <c r="E11" s="243"/>
      <c r="F11" s="257"/>
      <c r="G11" s="255"/>
      <c r="H11" s="258"/>
    </row>
    <row r="12" spans="1:9" x14ac:dyDescent="0.2">
      <c r="A12" s="32">
        <v>2400</v>
      </c>
      <c r="B12" t="s">
        <v>714</v>
      </c>
      <c r="C12" s="245">
        <f t="shared" si="0"/>
        <v>2877377.1700000004</v>
      </c>
      <c r="D12" s="20">
        <f>'DOE25'!L205+'DOE25'!L223+'DOE25'!L241-F12-G12</f>
        <v>2869484.1700000004</v>
      </c>
      <c r="E12" s="243"/>
      <c r="F12" s="254">
        <f>'DOE25'!J205+'DOE25'!J223+'DOE25'!J241</f>
        <v>0</v>
      </c>
      <c r="G12" s="53">
        <f>'DOE25'!K205+'DOE25'!K223+'DOE25'!K241</f>
        <v>7893</v>
      </c>
      <c r="H12" s="258"/>
    </row>
    <row r="13" spans="1:9" x14ac:dyDescent="0.2">
      <c r="A13" s="32">
        <v>2500</v>
      </c>
      <c r="B13" t="s">
        <v>802</v>
      </c>
      <c r="C13" s="245">
        <f t="shared" si="0"/>
        <v>531997.63</v>
      </c>
      <c r="D13" s="243"/>
      <c r="E13" s="20">
        <f>'DOE25'!L206+'DOE25'!L224+'DOE25'!L242-F13-G13</f>
        <v>531997.63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831</v>
      </c>
      <c r="C14" s="245">
        <f t="shared" si="0"/>
        <v>4132496.3280000007</v>
      </c>
      <c r="D14" s="20">
        <f>'DOE25'!L207+'DOE25'!L225+'DOE25'!L243-F14-G14</f>
        <v>4108937.5280000009</v>
      </c>
      <c r="E14" s="243"/>
      <c r="F14" s="254">
        <f>'DOE25'!J207+'DOE25'!J225+'DOE25'!J243</f>
        <v>23558.799999999999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803</v>
      </c>
      <c r="C15" s="245">
        <f t="shared" si="0"/>
        <v>2742055.99</v>
      </c>
      <c r="D15" s="20">
        <f>'DOE25'!L208+'DOE25'!L226+'DOE25'!L244-F15-G15</f>
        <v>2742055.99</v>
      </c>
      <c r="E15" s="243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804</v>
      </c>
      <c r="C16" s="245">
        <f t="shared" si="0"/>
        <v>170769.39</v>
      </c>
      <c r="D16" s="243"/>
      <c r="E16" s="20">
        <f>'DOE25'!L209+'DOE25'!L227+'DOE25'!L245-F16-G16</f>
        <v>170769.39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805</v>
      </c>
      <c r="C17" s="245">
        <f t="shared" si="0"/>
        <v>207838.68</v>
      </c>
      <c r="D17" s="20">
        <f>'DOE25'!L251-F17-G17</f>
        <v>207838.68</v>
      </c>
      <c r="E17" s="243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795</v>
      </c>
      <c r="F21" s="259"/>
      <c r="G21" s="52"/>
      <c r="H21" s="260"/>
    </row>
    <row r="22" spans="1:8" x14ac:dyDescent="0.2">
      <c r="A22" s="32">
        <v>4000</v>
      </c>
      <c r="B22" t="s">
        <v>832</v>
      </c>
      <c r="C22" s="245">
        <f>SUM(D22:H22)</f>
        <v>722225.18</v>
      </c>
      <c r="D22" s="243"/>
      <c r="E22" s="243"/>
      <c r="F22" s="254">
        <f>'DOE25'!L255+'DOE25'!L336</f>
        <v>722225.18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463</v>
      </c>
      <c r="F24" s="259"/>
      <c r="G24" s="52"/>
      <c r="H24" s="260"/>
    </row>
    <row r="25" spans="1:8" x14ac:dyDescent="0.2">
      <c r="A25" s="32" t="s">
        <v>808</v>
      </c>
      <c r="B25" t="s">
        <v>809</v>
      </c>
      <c r="C25" s="245">
        <f>SUM(D25:H25)</f>
        <v>6872605.2200000007</v>
      </c>
      <c r="D25" s="243"/>
      <c r="E25" s="243"/>
      <c r="F25" s="257"/>
      <c r="G25" s="255"/>
      <c r="H25" s="256">
        <f>'DOE25'!L260+'DOE25'!L261+'DOE25'!L341+'DOE25'!L342</f>
        <v>6872605.2200000007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811</v>
      </c>
      <c r="F27" s="259"/>
      <c r="G27" s="52"/>
      <c r="H27" s="260"/>
    </row>
    <row r="28" spans="1:8" x14ac:dyDescent="0.2">
      <c r="A28" s="32">
        <v>3100</v>
      </c>
      <c r="B28" t="s">
        <v>824</v>
      </c>
      <c r="F28" s="259"/>
      <c r="G28" s="52"/>
      <c r="H28" s="260"/>
    </row>
    <row r="29" spans="1:8" x14ac:dyDescent="0.2">
      <c r="A29" s="32"/>
      <c r="B29" t="s">
        <v>812</v>
      </c>
      <c r="C29" s="245">
        <f>SUM(D29:H29)</f>
        <v>811124.73</v>
      </c>
      <c r="D29" s="20">
        <f>'DOE25'!L358+'DOE25'!L359+'DOE25'!L360-'DOE25'!I367-F29-G29</f>
        <v>805265.95</v>
      </c>
      <c r="E29" s="243"/>
      <c r="F29" s="254">
        <f>'DOE25'!J358+'DOE25'!J359+'DOE25'!J360</f>
        <v>5858.78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3"/>
      <c r="F30" s="254"/>
      <c r="G30" s="53"/>
      <c r="H30" s="258"/>
    </row>
    <row r="31" spans="1:8" x14ac:dyDescent="0.2">
      <c r="A31" s="32" t="s">
        <v>826</v>
      </c>
      <c r="B31" t="s">
        <v>825</v>
      </c>
      <c r="C31" s="245">
        <f>SUM(D31:H31)</f>
        <v>1817283.4710000001</v>
      </c>
      <c r="D31" s="20">
        <f>'DOE25'!L290+'DOE25'!L309+'DOE25'!L328+'DOE25'!L333+'DOE25'!L334+'DOE25'!L335-F31-G31</f>
        <v>1694463.8310000002</v>
      </c>
      <c r="E31" s="243"/>
      <c r="F31" s="254">
        <f>'DOE25'!J290+'DOE25'!J309+'DOE25'!J328+'DOE25'!J333+'DOE25'!J334+'DOE25'!J335</f>
        <v>116994.5</v>
      </c>
      <c r="G31" s="53">
        <f>'DOE25'!K290+'DOE25'!K309+'DOE25'!K328+'DOE25'!K333+'DOE25'!K334+'DOE25'!K335</f>
        <v>5825.14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813</v>
      </c>
      <c r="D33" s="246">
        <f>SUM(D5:D31)</f>
        <v>56710441.709000006</v>
      </c>
      <c r="E33" s="246">
        <f>SUM(E5:E31)</f>
        <v>1178927.28</v>
      </c>
      <c r="F33" s="246">
        <f>SUM(F5:F31)</f>
        <v>1262122.1100000001</v>
      </c>
      <c r="G33" s="246">
        <f>SUM(G5:G31)</f>
        <v>43429.69</v>
      </c>
      <c r="H33" s="246">
        <f>SUM(H5:H31)</f>
        <v>6872605.2200000007</v>
      </c>
    </row>
    <row r="35" spans="2:8" ht="12" thickBot="1" x14ac:dyDescent="0.25">
      <c r="B35" s="252" t="s">
        <v>846</v>
      </c>
      <c r="D35" s="253">
        <f>E33</f>
        <v>1178927.28</v>
      </c>
      <c r="E35" s="248"/>
    </row>
    <row r="36" spans="2:8" ht="12" thickTop="1" x14ac:dyDescent="0.2">
      <c r="B36" t="s">
        <v>814</v>
      </c>
      <c r="D36" s="20">
        <f>D33</f>
        <v>56710441.709000006</v>
      </c>
    </row>
    <row r="38" spans="2:8" x14ac:dyDescent="0.2">
      <c r="B38" s="187" t="s">
        <v>907</v>
      </c>
      <c r="C38" s="265"/>
      <c r="D38" s="266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3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customSheetViews>
    <customSheetView guid="{CDAFBD17-E7A5-4853-A8D7-38152A835D44}">
      <pane ySplit="4" topLeftCell="A5" activePane="bottomLeft" state="frozen"/>
      <selection pane="bottomLeft" activeCell="D11" sqref="D11"/>
      <pageMargins left="0.5" right="0.5" top="0.5" bottom="0.5" header="0.5" footer="0.5"/>
      <pageSetup orientation="landscape" r:id="rId1"/>
      <headerFooter alignWithMargins="0"/>
    </customSheetView>
    <customSheetView guid="{DA0E624A-FB3C-4DF0-A249-99C5F3EDDBF5}">
      <pane ySplit="4" topLeftCell="A5" activePane="bottomLeft" state="frozen"/>
      <selection pane="bottomLeft" activeCell="K41" sqref="K41"/>
      <pageMargins left="0.5" right="0.5" top="0.5" bottom="0.5" header="0.5" footer="0.5"/>
      <pageSetup orientation="landscape" r:id="rId2"/>
      <headerFooter alignWithMargins="0"/>
    </customSheetView>
  </customSheetViews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84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Salem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1942591.02</v>
      </c>
      <c r="D8" s="95">
        <f>'DOE25'!G9</f>
        <v>6102.46</v>
      </c>
      <c r="E8" s="95">
        <f>'DOE25'!H9</f>
        <v>0</v>
      </c>
      <c r="F8" s="95">
        <f>'DOE25'!I9</f>
        <v>20351773.5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176923.22999999998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309793.83</v>
      </c>
      <c r="D11" s="95">
        <f>'DOE25'!G12</f>
        <v>84712.17</v>
      </c>
      <c r="E11" s="95">
        <f>'DOE25'!H12</f>
        <v>140123.62</v>
      </c>
      <c r="F11" s="95">
        <f>'DOE25'!I12</f>
        <v>0</v>
      </c>
      <c r="G11" s="95">
        <f>'DOE25'!J12</f>
        <v>11957.5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153771.15</v>
      </c>
      <c r="D12" s="95">
        <f>'DOE25'!G13</f>
        <v>21905.69</v>
      </c>
      <c r="E12" s="95">
        <f>'DOE25'!H13</f>
        <v>395769.59</v>
      </c>
      <c r="F12" s="95">
        <f>'DOE25'!I13</f>
        <v>306259.88</v>
      </c>
      <c r="G12" s="95">
        <f>'DOE25'!J13</f>
        <v>9677.9500000000007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38421.879999999997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2444577.88</v>
      </c>
      <c r="D18" s="41">
        <f>SUM(D8:D17)</f>
        <v>112720.32000000001</v>
      </c>
      <c r="E18" s="41">
        <f>SUM(E8:E17)</f>
        <v>535893.21</v>
      </c>
      <c r="F18" s="41">
        <f>SUM(F8:F17)</f>
        <v>20658033.379999999</v>
      </c>
      <c r="G18" s="41">
        <f>SUM(G8:G17)</f>
        <v>198558.68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224835.78999999998</v>
      </c>
      <c r="D21" s="95">
        <f>'DOE25'!G22</f>
        <v>0</v>
      </c>
      <c r="E21" s="95">
        <f>'DOE25'!H22</f>
        <v>309793.83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125954.86</v>
      </c>
      <c r="D23" s="95">
        <f>'DOE25'!G24</f>
        <v>773.61</v>
      </c>
      <c r="E23" s="95">
        <f>'DOE25'!H24</f>
        <v>902.24</v>
      </c>
      <c r="F23" s="95">
        <f>'DOE25'!I24</f>
        <v>29957.80000000447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147980.85</v>
      </c>
      <c r="D28" s="95">
        <f>'DOE25'!G29</f>
        <v>3831.08</v>
      </c>
      <c r="E28" s="95">
        <f>'DOE25'!H29</f>
        <v>56338.02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498771.5</v>
      </c>
      <c r="D31" s="41">
        <f>SUM(D21:D30)</f>
        <v>4604.6899999999996</v>
      </c>
      <c r="E31" s="41">
        <f>SUM(E21:E30)</f>
        <v>367034.09</v>
      </c>
      <c r="F31" s="41">
        <f>SUM(F21:F30)</f>
        <v>29957.80000000447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589525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220235.06</v>
      </c>
      <c r="D47" s="95">
        <f>'DOE25'!G48</f>
        <v>100035.63</v>
      </c>
      <c r="E47" s="95">
        <f>'DOE25'!H48</f>
        <v>168859.12</v>
      </c>
      <c r="F47" s="95">
        <f>'DOE25'!I48</f>
        <v>20439632.739999995</v>
      </c>
      <c r="G47" s="95">
        <f>'DOE25'!J48</f>
        <v>198558.68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117096.17</v>
      </c>
      <c r="D48" s="95">
        <f>'DOE25'!G49</f>
        <v>8080</v>
      </c>
      <c r="E48" s="95">
        <f>'DOE25'!H49</f>
        <v>0</v>
      </c>
      <c r="F48" s="95">
        <f>'DOE25'!I49</f>
        <v>188442.84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1018950.1499999998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1945806.38</v>
      </c>
      <c r="D50" s="41">
        <f>SUM(D34:D49)</f>
        <v>108115.63</v>
      </c>
      <c r="E50" s="41">
        <f>SUM(E34:E49)</f>
        <v>168859.12</v>
      </c>
      <c r="F50" s="41">
        <f>SUM(F34:F49)</f>
        <v>20628075.579999994</v>
      </c>
      <c r="G50" s="41">
        <f>SUM(G34:G49)</f>
        <v>198558.68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2444577.88</v>
      </c>
      <c r="D51" s="41">
        <f>D50+D31</f>
        <v>112720.32000000001</v>
      </c>
      <c r="E51" s="41">
        <f>E50+E31</f>
        <v>535893.21</v>
      </c>
      <c r="F51" s="41">
        <f>F50+F31</f>
        <v>20658033.379999999</v>
      </c>
      <c r="G51" s="41">
        <f>G50+G31</f>
        <v>198558.68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45781316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719805.37000000011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1805.83</v>
      </c>
      <c r="D59" s="95">
        <f>'DOE25'!G96</f>
        <v>0</v>
      </c>
      <c r="E59" s="95">
        <f>'DOE25'!H96</f>
        <v>0</v>
      </c>
      <c r="F59" s="95">
        <f>'DOE25'!I96</f>
        <v>52747.17</v>
      </c>
      <c r="G59" s="95">
        <f>'DOE25'!J96</f>
        <v>440.07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1058534.58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23023.61</v>
      </c>
      <c r="D61" s="95">
        <f>SUM('DOE25'!G98:G110)</f>
        <v>0</v>
      </c>
      <c r="E61" s="95">
        <f>SUM('DOE25'!H98:H110)</f>
        <v>21320.7</v>
      </c>
      <c r="F61" s="95">
        <f>SUM('DOE25'!I98:I110)</f>
        <v>0</v>
      </c>
      <c r="G61" s="95">
        <f>SUM('DOE25'!J98:J110)</f>
        <v>21635.45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744634.81</v>
      </c>
      <c r="D62" s="130">
        <f>SUM(D57:D61)</f>
        <v>1058534.58</v>
      </c>
      <c r="E62" s="130">
        <f>SUM(E57:E61)</f>
        <v>21320.7</v>
      </c>
      <c r="F62" s="130">
        <f>SUM(F57:F61)</f>
        <v>52747.17</v>
      </c>
      <c r="G62" s="130">
        <f>SUM(G57:G61)</f>
        <v>22075.52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46525950.810000002</v>
      </c>
      <c r="D63" s="22">
        <f>D56+D62</f>
        <v>1058534.58</v>
      </c>
      <c r="E63" s="22">
        <f>E56+E62</f>
        <v>21320.7</v>
      </c>
      <c r="F63" s="22">
        <f>F56+F62</f>
        <v>52747.17</v>
      </c>
      <c r="G63" s="22">
        <f>G56+G62</f>
        <v>22075.52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4162664.21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10301041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919.61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14464624.82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401940.86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683308.69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226988.92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12839.36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1312238.4699999997</v>
      </c>
      <c r="D78" s="130">
        <f>SUM(D72:D77)</f>
        <v>12839.36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15776863.289999999</v>
      </c>
      <c r="D81" s="130">
        <f>SUM(D79:D80)+D78+D70</f>
        <v>12839.36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31611.57</v>
      </c>
      <c r="D85" s="95">
        <f>'DOE25'!G147</f>
        <v>0</v>
      </c>
      <c r="E85" s="95">
        <f>'DOE25'!H147</f>
        <v>0</v>
      </c>
      <c r="F85" s="95">
        <f>'DOE25'!I147</f>
        <v>4362920.7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639338.18000000005</v>
      </c>
      <c r="D88" s="95">
        <f>SUM('DOE25'!G153:G161)</f>
        <v>331252</v>
      </c>
      <c r="E88" s="95">
        <f>SUM('DOE25'!H153:H161)</f>
        <v>1814335.63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670949.75</v>
      </c>
      <c r="D91" s="131">
        <f>SUM(D85:D90)</f>
        <v>331252</v>
      </c>
      <c r="E91" s="131">
        <f>SUM(E85:E90)</f>
        <v>1814335.63</v>
      </c>
      <c r="F91" s="131">
        <f>SUM(F85:F90)</f>
        <v>4362920.7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16818488.18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20054.95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20054.95</v>
      </c>
      <c r="D103" s="86">
        <f>SUM(D93:D102)</f>
        <v>0</v>
      </c>
      <c r="E103" s="86">
        <f>SUM(E93:E102)</f>
        <v>0</v>
      </c>
      <c r="F103" s="86">
        <f>SUM(F93:F102)</f>
        <v>16818488.18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62993818.800000004</v>
      </c>
      <c r="D104" s="86">
        <f>D63+D81+D91+D103</f>
        <v>1402625.9400000002</v>
      </c>
      <c r="E104" s="86">
        <f>E63+E81+E91+E103</f>
        <v>1835656.3299999998</v>
      </c>
      <c r="F104" s="86">
        <f>F63+F81+F91+F103</f>
        <v>21234156.050000001</v>
      </c>
      <c r="G104" s="86">
        <f>G63+G81+G103</f>
        <v>22075.52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25280137.32</v>
      </c>
      <c r="D109" s="24" t="s">
        <v>288</v>
      </c>
      <c r="E109" s="95">
        <f>('DOE25'!L276)+('DOE25'!L295)+('DOE25'!L314)</f>
        <v>439038.15899999999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9695635.5800000001</v>
      </c>
      <c r="D110" s="24" t="s">
        <v>288</v>
      </c>
      <c r="E110" s="95">
        <f>('DOE25'!L277)+('DOE25'!L296)+('DOE25'!L315)</f>
        <v>515102.98200000002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1609788.58</v>
      </c>
      <c r="D111" s="24" t="s">
        <v>288</v>
      </c>
      <c r="E111" s="95">
        <f>('DOE25'!L278)+('DOE25'!L297)+('DOE25'!L316)</f>
        <v>166974.03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940527.06</v>
      </c>
      <c r="D112" s="24" t="s">
        <v>288</v>
      </c>
      <c r="E112" s="95">
        <f>+('DOE25'!L279)+('DOE25'!L298)+('DOE25'!L317)</f>
        <v>16101.460000000001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207838.68</v>
      </c>
      <c r="D114" s="24" t="s">
        <v>288</v>
      </c>
      <c r="E114" s="95">
        <f>+ SUM('DOE25'!L333:L335)</f>
        <v>156418.91999999998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37733927.219999999</v>
      </c>
      <c r="D115" s="86">
        <f>SUM(D109:D114)</f>
        <v>0</v>
      </c>
      <c r="E115" s="86">
        <f>SUM(E109:E114)</f>
        <v>1293635.551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4510589.9799999995</v>
      </c>
      <c r="D118" s="24" t="s">
        <v>288</v>
      </c>
      <c r="E118" s="95">
        <f>+('DOE25'!L281)+('DOE25'!L300)+('DOE25'!L319)</f>
        <v>274209.45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2175383.96</v>
      </c>
      <c r="D119" s="24" t="s">
        <v>288</v>
      </c>
      <c r="E119" s="95">
        <f>+('DOE25'!L282)+('DOE25'!L301)+('DOE25'!L320)</f>
        <v>234887.3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949674.54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2877377.1700000004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531997.63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4132496.3280000007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2742055.99</v>
      </c>
      <c r="D124" s="24" t="s">
        <v>288</v>
      </c>
      <c r="E124" s="95">
        <f>+('DOE25'!L287)+('DOE25'!L306)+('DOE25'!L325)</f>
        <v>14551.17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170769.39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1367551.79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18090344.988000005</v>
      </c>
      <c r="D128" s="86">
        <f>SUM(D118:D127)</f>
        <v>1367551.79</v>
      </c>
      <c r="E128" s="86">
        <f>SUM(E118:E127)</f>
        <v>523647.92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722225.18</v>
      </c>
      <c r="D130" s="24" t="s">
        <v>288</v>
      </c>
      <c r="E130" s="129">
        <f>'DOE25'!L336</f>
        <v>0</v>
      </c>
      <c r="F130" s="129">
        <f>SUM('DOE25'!L374:'DOE25'!L380)</f>
        <v>23980617.670000006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4138000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2734605.22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20054.95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72.08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22003.440000000002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-22075.520000000004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7594830.4000000013</v>
      </c>
      <c r="D144" s="141">
        <f>SUM(D130:D143)</f>
        <v>0</v>
      </c>
      <c r="E144" s="141">
        <f>SUM(E130:E143)</f>
        <v>20054.95</v>
      </c>
      <c r="F144" s="141">
        <f>SUM(F130:F143)</f>
        <v>23980617.670000006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63419102.608000003</v>
      </c>
      <c r="D145" s="86">
        <f>(D115+D128+D144)</f>
        <v>1367551.79</v>
      </c>
      <c r="E145" s="86">
        <f>(E115+E128+E144)</f>
        <v>1837338.4209999999</v>
      </c>
      <c r="F145" s="86">
        <f>(F115+F128+F144)</f>
        <v>23980617.670000006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16</v>
      </c>
      <c r="C151" s="153">
        <f>'DOE25'!G490</f>
        <v>16</v>
      </c>
      <c r="D151" s="153">
        <f>'DOE25'!H490</f>
        <v>20</v>
      </c>
      <c r="E151" s="153">
        <f>'DOE25'!I490</f>
        <v>20</v>
      </c>
      <c r="F151" s="153">
        <f>'DOE25'!J490</f>
        <v>20</v>
      </c>
      <c r="G151" s="24" t="s">
        <v>288</v>
      </c>
    </row>
    <row r="152" spans="1:9" x14ac:dyDescent="0.2">
      <c r="A152" s="136" t="s">
        <v>28</v>
      </c>
      <c r="B152" s="152" t="str">
        <f>'DOE25'!F491</f>
        <v>6/23/10</v>
      </c>
      <c r="C152" s="152" t="str">
        <f>'DOE25'!G491</f>
        <v>6/23/10</v>
      </c>
      <c r="D152" s="152" t="str">
        <f>'DOE25'!H491</f>
        <v>7/18/13</v>
      </c>
      <c r="E152" s="152" t="str">
        <f>'DOE25'!I491</f>
        <v>12/2/14</v>
      </c>
      <c r="F152" s="152" t="str">
        <f>'DOE25'!J491</f>
        <v>12/3/15_9/8/16</v>
      </c>
      <c r="G152" s="24" t="s">
        <v>288</v>
      </c>
    </row>
    <row r="153" spans="1:9" x14ac:dyDescent="0.2">
      <c r="A153" s="136" t="s">
        <v>29</v>
      </c>
      <c r="B153" s="152" t="str">
        <f>'DOE25'!F492</f>
        <v>9/15/26</v>
      </c>
      <c r="C153" s="152" t="str">
        <f>'DOE25'!G492</f>
        <v>8/15/26</v>
      </c>
      <c r="D153" s="152" t="str">
        <f>'DOE25'!H492</f>
        <v>8/15/13</v>
      </c>
      <c r="E153" s="152" t="str">
        <f>'DOE25'!I492</f>
        <v>11/15/34</v>
      </c>
      <c r="F153" s="152" t="str">
        <f>'DOE25'!J492</f>
        <v>6/30/36_9/1/36</v>
      </c>
      <c r="G153" s="24" t="s">
        <v>288</v>
      </c>
    </row>
    <row r="154" spans="1:9" x14ac:dyDescent="0.2">
      <c r="A154" s="136" t="s">
        <v>30</v>
      </c>
      <c r="B154" s="137">
        <f>'DOE25'!F493</f>
        <v>14506160</v>
      </c>
      <c r="C154" s="137">
        <f>'DOE25'!G493</f>
        <v>7493840</v>
      </c>
      <c r="D154" s="137">
        <f>'DOE25'!H493</f>
        <v>16205153</v>
      </c>
      <c r="E154" s="137">
        <f>'DOE25'!I493</f>
        <v>21817560</v>
      </c>
      <c r="F154" s="137">
        <f>'DOE25'!J493</f>
        <v>38283275.25</v>
      </c>
      <c r="G154" s="24" t="s">
        <v>288</v>
      </c>
    </row>
    <row r="155" spans="1:9" x14ac:dyDescent="0.2">
      <c r="A155" s="136" t="s">
        <v>31</v>
      </c>
      <c r="B155" s="137">
        <f>'DOE25'!F494</f>
        <v>5.39</v>
      </c>
      <c r="C155" s="137">
        <f>'DOE25'!G494</f>
        <v>3.5110000000000001</v>
      </c>
      <c r="D155" s="137">
        <f>'DOE25'!H494</f>
        <v>3.5828000000000002</v>
      </c>
      <c r="E155" s="137">
        <f>'DOE25'!I494</f>
        <v>3.209308</v>
      </c>
      <c r="F155" s="137" t="str">
        <f>'DOE25'!J494</f>
        <v>Various</v>
      </c>
      <c r="G155" s="24" t="s">
        <v>288</v>
      </c>
    </row>
    <row r="156" spans="1:9" x14ac:dyDescent="0.2">
      <c r="A156" s="22" t="s">
        <v>32</v>
      </c>
      <c r="B156" s="137">
        <f>'DOE25'!F495</f>
        <v>9955000</v>
      </c>
      <c r="C156" s="137">
        <f>'DOE25'!G495</f>
        <v>4790000</v>
      </c>
      <c r="D156" s="137">
        <f>'DOE25'!H495</f>
        <v>12970000</v>
      </c>
      <c r="E156" s="137">
        <f>'DOE25'!I495</f>
        <v>19000000</v>
      </c>
      <c r="F156" s="137">
        <f>'DOE25'!J495</f>
        <v>35795000</v>
      </c>
      <c r="G156" s="138">
        <f>SUM(B156:F156)</f>
        <v>82510000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905000</v>
      </c>
      <c r="C158" s="137">
        <f>'DOE25'!G497</f>
        <v>440000</v>
      </c>
      <c r="D158" s="137">
        <f>'DOE25'!H497</f>
        <v>725000</v>
      </c>
      <c r="E158" s="137">
        <f>'DOE25'!I497</f>
        <v>1000000</v>
      </c>
      <c r="F158" s="137">
        <f>'DOE25'!J497</f>
        <v>1068000</v>
      </c>
      <c r="G158" s="138">
        <f t="shared" si="0"/>
        <v>4138000</v>
      </c>
    </row>
    <row r="159" spans="1:9" x14ac:dyDescent="0.2">
      <c r="A159" s="22" t="s">
        <v>35</v>
      </c>
      <c r="B159" s="137">
        <f>'DOE25'!F498</f>
        <v>9050000</v>
      </c>
      <c r="C159" s="137">
        <f>'DOE25'!G498</f>
        <v>4350000</v>
      </c>
      <c r="D159" s="137">
        <f>'DOE25'!H498</f>
        <v>12245000</v>
      </c>
      <c r="E159" s="137">
        <f>'DOE25'!I498</f>
        <v>18000000</v>
      </c>
      <c r="F159" s="137">
        <f>'DOE25'!J498</f>
        <v>35795000</v>
      </c>
      <c r="G159" s="138">
        <f t="shared" si="0"/>
        <v>79440000</v>
      </c>
    </row>
    <row r="160" spans="1:9" x14ac:dyDescent="0.2">
      <c r="A160" s="22" t="s">
        <v>36</v>
      </c>
      <c r="B160" s="137">
        <f>'DOE25'!F499</f>
        <v>2438975</v>
      </c>
      <c r="C160" s="137">
        <f>'DOE25'!G499</f>
        <v>1064119</v>
      </c>
      <c r="D160" s="137">
        <f>'DOE25'!H499</f>
        <v>5234180.5</v>
      </c>
      <c r="E160" s="137">
        <f>'DOE25'!I499</f>
        <v>6263125</v>
      </c>
      <c r="F160" s="137">
        <f>'DOE25'!J499</f>
        <v>11544075</v>
      </c>
      <c r="G160" s="138">
        <f t="shared" si="0"/>
        <v>26544474.5</v>
      </c>
    </row>
    <row r="161" spans="1:7" x14ac:dyDescent="0.2">
      <c r="A161" s="22" t="s">
        <v>37</v>
      </c>
      <c r="B161" s="137">
        <f>'DOE25'!F500</f>
        <v>11488975</v>
      </c>
      <c r="C161" s="137">
        <f>'DOE25'!G500</f>
        <v>5414119</v>
      </c>
      <c r="D161" s="137">
        <f>'DOE25'!H500</f>
        <v>17479180.5</v>
      </c>
      <c r="E161" s="137">
        <f>'DOE25'!I500</f>
        <v>24263125</v>
      </c>
      <c r="F161" s="137">
        <f>'DOE25'!J500</f>
        <v>47339075</v>
      </c>
      <c r="G161" s="138">
        <f t="shared" si="0"/>
        <v>105984474.5</v>
      </c>
    </row>
    <row r="162" spans="1:7" x14ac:dyDescent="0.2">
      <c r="A162" s="22" t="s">
        <v>38</v>
      </c>
      <c r="B162" s="137">
        <f>'DOE25'!F501</f>
        <v>905000</v>
      </c>
      <c r="C162" s="137">
        <f>'DOE25'!G501</f>
        <v>435000</v>
      </c>
      <c r="D162" s="137">
        <f>'DOE25'!H501</f>
        <v>725000</v>
      </c>
      <c r="E162" s="137">
        <f>'DOE25'!I501</f>
        <v>1000000</v>
      </c>
      <c r="F162" s="137">
        <f>'DOE25'!J501</f>
        <v>1845000</v>
      </c>
      <c r="G162" s="138">
        <f t="shared" si="0"/>
        <v>4910000</v>
      </c>
    </row>
    <row r="163" spans="1:7" x14ac:dyDescent="0.2">
      <c r="A163" s="22" t="s">
        <v>39</v>
      </c>
      <c r="B163" s="137">
        <f>'DOE25'!F502</f>
        <v>463405.25</v>
      </c>
      <c r="C163" s="137">
        <f>'DOE25'!G502</f>
        <v>196837.5</v>
      </c>
      <c r="D163" s="137">
        <f>'DOE25'!H502</f>
        <v>604220</v>
      </c>
      <c r="E163" s="137">
        <f>'DOE25'!I502</f>
        <v>741250</v>
      </c>
      <c r="F163" s="137">
        <f>'DOE25'!J502</f>
        <v>1285225</v>
      </c>
      <c r="G163" s="138">
        <f t="shared" si="0"/>
        <v>3290937.75</v>
      </c>
    </row>
    <row r="164" spans="1:7" x14ac:dyDescent="0.2">
      <c r="A164" s="22" t="s">
        <v>246</v>
      </c>
      <c r="B164" s="137">
        <f>'DOE25'!F503</f>
        <v>1368405.25</v>
      </c>
      <c r="C164" s="137">
        <f>'DOE25'!G503</f>
        <v>631837.5</v>
      </c>
      <c r="D164" s="137">
        <f>'DOE25'!H503</f>
        <v>1329220</v>
      </c>
      <c r="E164" s="137">
        <f>'DOE25'!I503</f>
        <v>1741250</v>
      </c>
      <c r="F164" s="137">
        <f>'DOE25'!J503</f>
        <v>3130225</v>
      </c>
      <c r="G164" s="138">
        <f t="shared" si="0"/>
        <v>8200937.75</v>
      </c>
    </row>
  </sheetData>
  <sheetProtection password="AB0A" sheet="1" objects="1" scenarios="1"/>
  <customSheetViews>
    <customSheetView guid="{CDAFBD17-E7A5-4853-A8D7-38152A835D44}" scale="80">
      <pane ySplit="2" topLeftCell="A84" activePane="bottomLeft" state="frozen"/>
      <selection pane="bottomLeft" activeCell="A80" sqref="A80"/>
      <rowBreaks count="3" manualBreakCount="3">
        <brk id="82" max="16383" man="1"/>
        <brk id="105" max="16383" man="1"/>
        <brk id="146" max="16383" man="1"/>
      </rowBreaks>
      <pageMargins left="0.75" right="0.75" top="1" bottom="1" header="0.5" footer="0.5"/>
      <printOptions gridLines="1"/>
      <pageSetup scale="90" orientation="landscape" r:id="rId1"/>
      <headerFooter alignWithMargins="0">
        <oddHeader>&amp;C&amp;A
2016-2017</oddHeader>
        <oddFooter>&amp;CPage &amp;P&amp;R&amp;D&amp;T</oddFooter>
      </headerFooter>
    </customSheetView>
    <customSheetView guid="{DA0E624A-FB3C-4DF0-A249-99C5F3EDDBF5}" scale="80">
      <pane ySplit="2" topLeftCell="A3" activePane="bottomLeft" state="frozen"/>
      <selection pane="bottomLeft" activeCell="A80" sqref="A80"/>
      <rowBreaks count="3" manualBreakCount="3">
        <brk id="82" max="16383" man="1"/>
        <brk id="105" max="16383" man="1"/>
        <brk id="146" max="16383" man="1"/>
      </rowBreaks>
      <pageMargins left="0.75" right="0.75" top="1" bottom="1" header="0.5" footer="0.5"/>
      <printOptions gridLines="1"/>
      <pageSetup scale="90" orientation="landscape" r:id="rId2"/>
      <headerFooter alignWithMargins="0">
        <oddHeader>&amp;C&amp;A
2016-2017</oddHeader>
        <oddFooter>&amp;CPage &amp;P&amp;R&amp;D&amp;T</oddFooter>
      </headerFooter>
    </customSheetView>
  </customSheetViews>
  <phoneticPr fontId="0" type="noConversion"/>
  <printOptions gridLines="1" gridLinesSet="0"/>
  <pageMargins left="0.75" right="0.75" top="1" bottom="1" header="0.5" footer="0.5"/>
  <pageSetup scale="90" orientation="landscape" r:id="rId3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739</v>
      </c>
      <c r="B1" s="284"/>
      <c r="C1" s="284"/>
      <c r="D1" s="284"/>
    </row>
    <row r="2" spans="1:4" x14ac:dyDescent="0.2">
      <c r="A2" s="187" t="s">
        <v>716</v>
      </c>
      <c r="B2" s="186" t="str">
        <f>'DOE25'!A2</f>
        <v>Salem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14630</v>
      </c>
    </row>
    <row r="5" spans="1:4" x14ac:dyDescent="0.2">
      <c r="B5" t="s">
        <v>703</v>
      </c>
      <c r="C5" s="179">
        <f>IF('DOE25'!G665+'DOE25'!G670=0,0,ROUND('DOE25'!G672,0))</f>
        <v>12734</v>
      </c>
    </row>
    <row r="6" spans="1:4" x14ac:dyDescent="0.2">
      <c r="B6" t="s">
        <v>62</v>
      </c>
      <c r="C6" s="179">
        <f>IF('DOE25'!H665+'DOE25'!H670=0,0,ROUND('DOE25'!H672,0))</f>
        <v>16729</v>
      </c>
    </row>
    <row r="7" spans="1:4" x14ac:dyDescent="0.2">
      <c r="B7" t="s">
        <v>704</v>
      </c>
      <c r="C7" s="179">
        <f>IF('DOE25'!I665+'DOE25'!I670=0,0,ROUND('DOE25'!I672,0))</f>
        <v>14846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25719175</v>
      </c>
      <c r="D10" s="182">
        <f>ROUND((C10/$C$28)*100,1)</f>
        <v>42.4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10210739</v>
      </c>
      <c r="D11" s="182">
        <f>ROUND((C11/$C$28)*100,1)</f>
        <v>16.8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1776763</v>
      </c>
      <c r="D12" s="182">
        <f>ROUND((C12/$C$28)*100,1)</f>
        <v>2.9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956629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4784799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2410271</v>
      </c>
      <c r="D16" s="182">
        <f t="shared" si="0"/>
        <v>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1120444</v>
      </c>
      <c r="D17" s="182">
        <f t="shared" si="0"/>
        <v>1.8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2877377</v>
      </c>
      <c r="D18" s="182">
        <f t="shared" si="0"/>
        <v>4.7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531998</v>
      </c>
      <c r="D19" s="182">
        <f t="shared" si="0"/>
        <v>0.9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4132496</v>
      </c>
      <c r="D20" s="182">
        <f t="shared" si="0"/>
        <v>6.8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2756607</v>
      </c>
      <c r="D21" s="182">
        <f t="shared" si="0"/>
        <v>4.5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364258</v>
      </c>
      <c r="D24" s="182">
        <f t="shared" si="0"/>
        <v>0.6</v>
      </c>
    </row>
    <row r="25" spans="1:4" x14ac:dyDescent="0.2">
      <c r="A25">
        <v>5120</v>
      </c>
      <c r="B25" t="s">
        <v>719</v>
      </c>
      <c r="C25" s="179">
        <f>ROUND('DOE25'!L261+'DOE25'!L342,0)</f>
        <v>2734605</v>
      </c>
      <c r="D25" s="182">
        <f t="shared" si="0"/>
        <v>4.5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309017.41999999993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60685178.420000002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24702843</v>
      </c>
    </row>
    <row r="30" spans="1:4" x14ac:dyDescent="0.2">
      <c r="B30" s="187" t="s">
        <v>728</v>
      </c>
      <c r="C30" s="180">
        <f>SUM(C28:C29)</f>
        <v>85388021.420000002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4138000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45781316</v>
      </c>
      <c r="D35" s="182">
        <f t="shared" ref="D35:D40" si="1">ROUND((C35/$C$41)*100,1)</f>
        <v>65.8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840778.20000000298</v>
      </c>
      <c r="D36" s="182">
        <f t="shared" si="1"/>
        <v>1.2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14463705</v>
      </c>
      <c r="D37" s="182">
        <f t="shared" si="1"/>
        <v>20.8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1325997</v>
      </c>
      <c r="D38" s="182">
        <f t="shared" si="1"/>
        <v>1.9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7179458</v>
      </c>
      <c r="D39" s="182">
        <f t="shared" si="1"/>
        <v>10.3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69591254.200000003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16818488</v>
      </c>
    </row>
  </sheetData>
  <sheetProtection password="AB0A" sheet="1" objects="1" scenarios="1"/>
  <customSheetViews>
    <customSheetView guid="{CDAFBD17-E7A5-4853-A8D7-38152A835D44}">
      <selection activeCell="J17" sqref="J17"/>
      <pageMargins left="1.25" right="1.25" top="1.75" bottom="1.75" header="0.5" footer="0.5"/>
      <printOptions gridLines="1"/>
      <pageSetup orientation="portrait" r:id="rId1"/>
      <headerFooter alignWithMargins="0">
        <oddHeader>&amp;A</oddHeader>
        <oddFooter>Page &amp;P</oddFooter>
      </headerFooter>
    </customSheetView>
    <customSheetView guid="{DA0E624A-FB3C-4DF0-A249-99C5F3EDDBF5}">
      <selection activeCell="J17" sqref="J17"/>
      <pageMargins left="1.25" right="1.25" top="1.75" bottom="1.75" header="0.5" footer="0.5"/>
      <printOptions gridLines="1"/>
      <pageSetup orientation="portrait" r:id="rId2"/>
      <headerFooter alignWithMargins="0">
        <oddHeader>&amp;A</oddHeader>
        <oddFooter>Page &amp;P</oddFooter>
      </headerFooter>
    </customSheetView>
  </customSheetViews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3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769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766</v>
      </c>
      <c r="B2" s="296"/>
      <c r="C2" s="296"/>
      <c r="D2" s="296"/>
      <c r="E2" s="296"/>
      <c r="F2" s="293" t="str">
        <f>'DOE25'!A2</f>
        <v>Salem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1" t="s">
        <v>770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>
        <v>20</v>
      </c>
      <c r="B4" s="274" t="s">
        <v>922</v>
      </c>
      <c r="C4" s="287" t="s">
        <v>924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847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B0A" sheet="1" objects="1" scenarios="1"/>
  <customSheetViews>
    <customSheetView guid="{CDAFBD17-E7A5-4853-A8D7-38152A835D44}">
      <pane ySplit="3" topLeftCell="A4" activePane="bottomLeft" state="frozen"/>
      <selection pane="bottomLeft" activeCell="C5" sqref="C5:M5"/>
      <pageMargins left="0.75" right="0.75" top="1" bottom="1" header="0.5" footer="0.5"/>
      <printOptions gridLines="1"/>
      <pageSetup scale="85" orientation="portrait" r:id="rId1"/>
      <headerFooter alignWithMargins="0">
        <oddHeader>&amp;LDistrict Notes</oddHeader>
        <oddFooter>&amp;CPage &amp;P of &amp;N</oddFooter>
      </headerFooter>
    </customSheetView>
    <customSheetView guid="{DA0E624A-FB3C-4DF0-A249-99C5F3EDDBF5}">
      <pane ySplit="3" topLeftCell="A4" activePane="bottomLeft" state="frozen"/>
      <selection pane="bottomLeft" activeCell="A4" sqref="A4"/>
      <pageMargins left="0.75" right="0.75" top="1" bottom="1" header="0.5" footer="0.5"/>
      <printOptions gridLines="1"/>
      <pageSetup scale="85" orientation="portrait" r:id="rId2"/>
      <headerFooter alignWithMargins="0">
        <oddHeader>&amp;LDistrict Notes</oddHeader>
        <oddFooter>&amp;CPage &amp;P of &amp;N</oddFooter>
      </headerFooter>
    </customSheetView>
  </customSheetViews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3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customSheetViews>
    <customSheetView guid="{CDAFBD17-E7A5-4853-A8D7-38152A835D44}">
      <pageMargins left="0.7" right="0.7" top="0.75" bottom="0.75" header="0.3" footer="0.3"/>
    </customSheetView>
    <customSheetView guid="{DA0E624A-FB3C-4DF0-A249-99C5F3EDDBF5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2017-09-14T16:39:26Z</cp:lastPrinted>
  <dcterms:created xsi:type="dcterms:W3CDTF">1997-12-04T19:04:30Z</dcterms:created>
  <dcterms:modified xsi:type="dcterms:W3CDTF">2017-11-29T18:02:29Z</dcterms:modified>
</cp:coreProperties>
</file>