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345" yWindow="105" windowWidth="9855" windowHeight="77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44" i="1" l="1"/>
  <c r="H226" i="1"/>
  <c r="H208" i="1"/>
  <c r="J591" i="1"/>
  <c r="I591" i="1"/>
  <c r="H591" i="1"/>
  <c r="H587" i="1" l="1"/>
  <c r="G587" i="1"/>
  <c r="H580" i="1"/>
  <c r="G580" i="1"/>
  <c r="F580" i="1"/>
  <c r="D9" i="13" l="1"/>
  <c r="H533" i="1" l="1"/>
  <c r="H532" i="1"/>
  <c r="H531" i="1"/>
  <c r="G528" i="1"/>
  <c r="G527" i="1"/>
  <c r="G526" i="1"/>
  <c r="F528" i="1"/>
  <c r="F527" i="1"/>
  <c r="F526" i="1"/>
  <c r="H526" i="1"/>
  <c r="J523" i="1" l="1"/>
  <c r="G523" i="1"/>
  <c r="F523" i="1"/>
  <c r="J522" i="1"/>
  <c r="I522" i="1"/>
  <c r="G522" i="1"/>
  <c r="F522" i="1"/>
  <c r="J521" i="1"/>
  <c r="I521" i="1"/>
  <c r="G521" i="1"/>
  <c r="F521" i="1"/>
  <c r="H613" i="1" l="1"/>
  <c r="H612" i="1"/>
  <c r="H611" i="1"/>
  <c r="J604" i="1" l="1"/>
  <c r="I604" i="1"/>
  <c r="H604" i="1"/>
  <c r="J465" i="1" l="1"/>
  <c r="I595" i="1"/>
  <c r="J595" i="1"/>
  <c r="J594" i="1"/>
  <c r="F118" i="1" l="1"/>
  <c r="F57" i="1"/>
  <c r="F68" i="1"/>
  <c r="F50" i="1"/>
  <c r="F14" i="1" l="1"/>
  <c r="F102" i="1"/>
  <c r="F49" i="1" l="1"/>
  <c r="F24" i="1" l="1"/>
  <c r="F502" i="1" l="1"/>
  <c r="F501" i="1"/>
  <c r="I326" i="1" l="1"/>
  <c r="I307" i="1"/>
  <c r="I288" i="1"/>
  <c r="F499" i="1" l="1"/>
  <c r="F498" i="1"/>
  <c r="H320" i="1"/>
  <c r="H314" i="1"/>
  <c r="H301" i="1"/>
  <c r="H295" i="1"/>
  <c r="H282" i="1"/>
  <c r="H276" i="1"/>
  <c r="H135" i="1"/>
  <c r="H43" i="1"/>
  <c r="H14" i="1"/>
  <c r="H368" i="1" l="1"/>
  <c r="G368" i="1"/>
  <c r="I358" i="1"/>
  <c r="F368" i="1" s="1"/>
  <c r="H360" i="1"/>
  <c r="H359" i="1"/>
  <c r="H358" i="1"/>
  <c r="H245" i="1" l="1"/>
  <c r="H227" i="1"/>
  <c r="H209" i="1"/>
  <c r="H255" i="1"/>
  <c r="J243" i="1"/>
  <c r="I243" i="1"/>
  <c r="H243" i="1"/>
  <c r="J242" i="1"/>
  <c r="H242" i="1"/>
  <c r="I241" i="1"/>
  <c r="H241" i="1"/>
  <c r="H240" i="1"/>
  <c r="H238" i="1"/>
  <c r="J236" i="1"/>
  <c r="H236" i="1"/>
  <c r="I234" i="1"/>
  <c r="I523" i="1" s="1"/>
  <c r="I233" i="1"/>
  <c r="K233" i="1"/>
  <c r="J233" i="1"/>
  <c r="H233" i="1"/>
  <c r="J225" i="1"/>
  <c r="I225" i="1"/>
  <c r="H225" i="1"/>
  <c r="J224" i="1"/>
  <c r="H224" i="1"/>
  <c r="H223" i="1"/>
  <c r="H222" i="1"/>
  <c r="I221" i="1"/>
  <c r="H220" i="1"/>
  <c r="K215" i="1"/>
  <c r="J215" i="1"/>
  <c r="I215" i="1"/>
  <c r="H215" i="1"/>
  <c r="J207" i="1"/>
  <c r="I207" i="1"/>
  <c r="H207" i="1"/>
  <c r="J206" i="1"/>
  <c r="H206" i="1"/>
  <c r="H205" i="1"/>
  <c r="H204" i="1"/>
  <c r="I203" i="1"/>
  <c r="H198" i="1"/>
  <c r="H521" i="1" s="1"/>
  <c r="K197" i="1"/>
  <c r="J197" i="1"/>
  <c r="I197" i="1"/>
  <c r="H197" i="1"/>
  <c r="G43" i="1" l="1"/>
  <c r="G158" i="1"/>
  <c r="H234" i="1"/>
  <c r="H523" i="1" s="1"/>
  <c r="G233" i="1"/>
  <c r="H216" i="1"/>
  <c r="H522" i="1" s="1"/>
  <c r="G215" i="1"/>
  <c r="G197" i="1"/>
  <c r="H20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I162" i="1"/>
  <c r="C12" i="10"/>
  <c r="L250" i="1"/>
  <c r="L332" i="1"/>
  <c r="L254" i="1"/>
  <c r="L268" i="1"/>
  <c r="L269" i="1"/>
  <c r="C143" i="2" s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C113" i="2"/>
  <c r="E113" i="2"/>
  <c r="E114" i="2"/>
  <c r="D115" i="2"/>
  <c r="F115" i="2"/>
  <c r="G115" i="2"/>
  <c r="E120" i="2"/>
  <c r="E122" i="2"/>
  <c r="E123" i="2"/>
  <c r="E124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F461" i="1" s="1"/>
  <c r="H639" i="1" s="1"/>
  <c r="G460" i="1"/>
  <c r="H460" i="1"/>
  <c r="H461" i="1" s="1"/>
  <c r="H641" i="1" s="1"/>
  <c r="I470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30" i="1"/>
  <c r="H636" i="1"/>
  <c r="H638" i="1"/>
  <c r="G641" i="1"/>
  <c r="G643" i="1"/>
  <c r="G644" i="1"/>
  <c r="H644" i="1"/>
  <c r="J644" i="1" s="1"/>
  <c r="G651" i="1"/>
  <c r="G652" i="1"/>
  <c r="H652" i="1"/>
  <c r="G653" i="1"/>
  <c r="H653" i="1"/>
  <c r="G654" i="1"/>
  <c r="H654" i="1"/>
  <c r="H655" i="1"/>
  <c r="C26" i="10"/>
  <c r="D50" i="2"/>
  <c r="F18" i="2"/>
  <c r="E103" i="2"/>
  <c r="D91" i="2"/>
  <c r="G62" i="2"/>
  <c r="H112" i="1"/>
  <c r="L433" i="1"/>
  <c r="D81" i="2"/>
  <c r="I169" i="1"/>
  <c r="H169" i="1"/>
  <c r="I476" i="1"/>
  <c r="H625" i="1" s="1"/>
  <c r="J625" i="1" s="1"/>
  <c r="J140" i="1"/>
  <c r="G22" i="2"/>
  <c r="H140" i="1"/>
  <c r="H571" i="1"/>
  <c r="J545" i="1"/>
  <c r="G192" i="1"/>
  <c r="H192" i="1"/>
  <c r="J636" i="1"/>
  <c r="J641" i="1" l="1"/>
  <c r="K571" i="1"/>
  <c r="E118" i="2"/>
  <c r="K545" i="1"/>
  <c r="G408" i="1"/>
  <c r="H645" i="1" s="1"/>
  <c r="G164" i="2"/>
  <c r="G157" i="2"/>
  <c r="C91" i="2"/>
  <c r="L393" i="1"/>
  <c r="C138" i="2" s="1"/>
  <c r="A31" i="12"/>
  <c r="E121" i="2"/>
  <c r="E112" i="2"/>
  <c r="D19" i="13"/>
  <c r="C19" i="13" s="1"/>
  <c r="D18" i="13"/>
  <c r="C18" i="13" s="1"/>
  <c r="D17" i="13"/>
  <c r="C17" i="13" s="1"/>
  <c r="G461" i="1"/>
  <c r="H640" i="1" s="1"/>
  <c r="F408" i="1"/>
  <c r="H643" i="1" s="1"/>
  <c r="H662" i="1"/>
  <c r="L427" i="1"/>
  <c r="L434" i="1" s="1"/>
  <c r="G638" i="1" s="1"/>
  <c r="J638" i="1" s="1"/>
  <c r="L419" i="1"/>
  <c r="E31" i="2"/>
  <c r="K549" i="1"/>
  <c r="G552" i="1"/>
  <c r="L570" i="1"/>
  <c r="I571" i="1"/>
  <c r="L565" i="1"/>
  <c r="L539" i="1"/>
  <c r="I545" i="1"/>
  <c r="H545" i="1"/>
  <c r="H552" i="1"/>
  <c r="L529" i="1"/>
  <c r="G545" i="1"/>
  <c r="F552" i="1"/>
  <c r="A40" i="12"/>
  <c r="K598" i="1"/>
  <c r="G647" i="1" s="1"/>
  <c r="J651" i="1"/>
  <c r="G645" i="1"/>
  <c r="J645" i="1" s="1"/>
  <c r="J617" i="1"/>
  <c r="J640" i="1"/>
  <c r="J639" i="1"/>
  <c r="L401" i="1"/>
  <c r="C139" i="2" s="1"/>
  <c r="J643" i="1"/>
  <c r="J655" i="1"/>
  <c r="G161" i="2"/>
  <c r="G156" i="2"/>
  <c r="L328" i="1"/>
  <c r="E125" i="2"/>
  <c r="E119" i="2"/>
  <c r="L309" i="1"/>
  <c r="E110" i="2"/>
  <c r="E115" i="2" s="1"/>
  <c r="H338" i="1"/>
  <c r="H352" i="1" s="1"/>
  <c r="G338" i="1"/>
  <c r="G352" i="1" s="1"/>
  <c r="F338" i="1"/>
  <c r="F352" i="1" s="1"/>
  <c r="L290" i="1"/>
  <c r="E62" i="2"/>
  <c r="E63" i="2" s="1"/>
  <c r="J634" i="1"/>
  <c r="F661" i="1"/>
  <c r="E16" i="13"/>
  <c r="C21" i="10"/>
  <c r="C19" i="10"/>
  <c r="D18" i="2"/>
  <c r="H661" i="1"/>
  <c r="D62" i="2"/>
  <c r="D63" i="2" s="1"/>
  <c r="D31" i="2"/>
  <c r="D51" i="2" s="1"/>
  <c r="C10" i="10"/>
  <c r="E8" i="13"/>
  <c r="C8" i="13" s="1"/>
  <c r="C112" i="2"/>
  <c r="F662" i="1"/>
  <c r="D15" i="13"/>
  <c r="C15" i="13" s="1"/>
  <c r="G649" i="1"/>
  <c r="J649" i="1" s="1"/>
  <c r="H647" i="1"/>
  <c r="C124" i="2"/>
  <c r="C17" i="10"/>
  <c r="C132" i="2"/>
  <c r="L270" i="1"/>
  <c r="C32" i="10"/>
  <c r="I662" i="1"/>
  <c r="L247" i="1"/>
  <c r="H257" i="1"/>
  <c r="H271" i="1" s="1"/>
  <c r="C109" i="2"/>
  <c r="D14" i="13"/>
  <c r="C14" i="13" s="1"/>
  <c r="D12" i="13"/>
  <c r="C12" i="13" s="1"/>
  <c r="D7" i="13"/>
  <c r="C7" i="13" s="1"/>
  <c r="L229" i="1"/>
  <c r="C15" i="10"/>
  <c r="C11" i="10"/>
  <c r="F257" i="1"/>
  <c r="F271" i="1" s="1"/>
  <c r="J257" i="1"/>
  <c r="J271" i="1" s="1"/>
  <c r="I257" i="1"/>
  <c r="I271" i="1" s="1"/>
  <c r="A13" i="12"/>
  <c r="L256" i="1"/>
  <c r="C18" i="10"/>
  <c r="E13" i="13"/>
  <c r="C13" i="13" s="1"/>
  <c r="C122" i="2"/>
  <c r="C16" i="10"/>
  <c r="C118" i="2"/>
  <c r="D6" i="13"/>
  <c r="C6" i="13" s="1"/>
  <c r="K257" i="1"/>
  <c r="K271" i="1" s="1"/>
  <c r="G257" i="1"/>
  <c r="G271" i="1" s="1"/>
  <c r="C78" i="2"/>
  <c r="C70" i="2"/>
  <c r="F112" i="1"/>
  <c r="C62" i="2"/>
  <c r="C56" i="2"/>
  <c r="C18" i="2"/>
  <c r="C16" i="13"/>
  <c r="D5" i="13"/>
  <c r="C5" i="13" s="1"/>
  <c r="F22" i="13"/>
  <c r="C22" i="13" s="1"/>
  <c r="K550" i="1"/>
  <c r="D29" i="13"/>
  <c r="C29" i="13" s="1"/>
  <c r="G624" i="1"/>
  <c r="L534" i="1"/>
  <c r="K500" i="1"/>
  <c r="I460" i="1"/>
  <c r="I452" i="1"/>
  <c r="I446" i="1"/>
  <c r="G642" i="1" s="1"/>
  <c r="C125" i="2"/>
  <c r="C123" i="2"/>
  <c r="C121" i="2"/>
  <c r="C119" i="2"/>
  <c r="C114" i="2"/>
  <c r="C110" i="2"/>
  <c r="G661" i="1"/>
  <c r="L211" i="1"/>
  <c r="C20" i="10"/>
  <c r="L362" i="1"/>
  <c r="C35" i="10"/>
  <c r="C29" i="10"/>
  <c r="L544" i="1"/>
  <c r="L524" i="1"/>
  <c r="J338" i="1"/>
  <c r="J352" i="1" s="1"/>
  <c r="D127" i="2"/>
  <c r="D128" i="2" s="1"/>
  <c r="D145" i="2" s="1"/>
  <c r="C120" i="2"/>
  <c r="C13" i="10"/>
  <c r="K551" i="1"/>
  <c r="H25" i="13"/>
  <c r="F169" i="1"/>
  <c r="E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F104" i="2"/>
  <c r="H193" i="1"/>
  <c r="G169" i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A22" i="12"/>
  <c r="G50" i="2"/>
  <c r="G51" i="2" s="1"/>
  <c r="J652" i="1"/>
  <c r="G571" i="1"/>
  <c r="I434" i="1"/>
  <c r="G434" i="1"/>
  <c r="I663" i="1"/>
  <c r="C27" i="10"/>
  <c r="C63" i="2" l="1"/>
  <c r="G646" i="1"/>
  <c r="J468" i="1"/>
  <c r="I193" i="1"/>
  <c r="G630" i="1" s="1"/>
  <c r="J630" i="1" s="1"/>
  <c r="G629" i="1"/>
  <c r="H468" i="1"/>
  <c r="L571" i="1"/>
  <c r="K552" i="1"/>
  <c r="J647" i="1"/>
  <c r="I461" i="1"/>
  <c r="H642" i="1" s="1"/>
  <c r="J642" i="1" s="1"/>
  <c r="H660" i="1"/>
  <c r="H664" i="1" s="1"/>
  <c r="H667" i="1" s="1"/>
  <c r="E128" i="2"/>
  <c r="G660" i="1"/>
  <c r="G664" i="1" s="1"/>
  <c r="G667" i="1" s="1"/>
  <c r="L338" i="1"/>
  <c r="L352" i="1" s="1"/>
  <c r="D31" i="13"/>
  <c r="C31" i="13" s="1"/>
  <c r="E145" i="2"/>
  <c r="E104" i="2"/>
  <c r="I661" i="1"/>
  <c r="G635" i="1"/>
  <c r="G472" i="1"/>
  <c r="D104" i="2"/>
  <c r="C144" i="2"/>
  <c r="F33" i="13"/>
  <c r="L257" i="1"/>
  <c r="L271" i="1" s="1"/>
  <c r="E33" i="13"/>
  <c r="D35" i="13" s="1"/>
  <c r="C28" i="10"/>
  <c r="D23" i="10" s="1"/>
  <c r="C81" i="2"/>
  <c r="C104" i="2" s="1"/>
  <c r="C36" i="10"/>
  <c r="H648" i="1"/>
  <c r="J648" i="1" s="1"/>
  <c r="G104" i="2"/>
  <c r="C39" i="10"/>
  <c r="C25" i="13"/>
  <c r="H33" i="13"/>
  <c r="C128" i="2"/>
  <c r="F660" i="1"/>
  <c r="F193" i="1"/>
  <c r="L408" i="1"/>
  <c r="L545" i="1"/>
  <c r="C115" i="2"/>
  <c r="C51" i="2"/>
  <c r="G631" i="1"/>
  <c r="G193" i="1"/>
  <c r="G626" i="1"/>
  <c r="J52" i="1"/>
  <c r="H621" i="1" s="1"/>
  <c r="J621" i="1" s="1"/>
  <c r="C38" i="10"/>
  <c r="G628" i="1" l="1"/>
  <c r="G468" i="1"/>
  <c r="H470" i="1"/>
  <c r="H629" i="1"/>
  <c r="J629" i="1"/>
  <c r="G627" i="1"/>
  <c r="F468" i="1"/>
  <c r="J470" i="1"/>
  <c r="J476" i="1" s="1"/>
  <c r="H626" i="1" s="1"/>
  <c r="J626" i="1" s="1"/>
  <c r="H631" i="1"/>
  <c r="J631" i="1" s="1"/>
  <c r="H637" i="1"/>
  <c r="G633" i="1"/>
  <c r="H472" i="1"/>
  <c r="D33" i="13"/>
  <c r="D36" i="13" s="1"/>
  <c r="G474" i="1"/>
  <c r="H635" i="1"/>
  <c r="J635" i="1" s="1"/>
  <c r="H672" i="1"/>
  <c r="C6" i="10" s="1"/>
  <c r="G632" i="1"/>
  <c r="F472" i="1"/>
  <c r="G672" i="1"/>
  <c r="C5" i="10" s="1"/>
  <c r="D20" i="10"/>
  <c r="D15" i="10"/>
  <c r="D25" i="10"/>
  <c r="D19" i="10"/>
  <c r="D11" i="10"/>
  <c r="D22" i="10"/>
  <c r="D27" i="10"/>
  <c r="D18" i="10"/>
  <c r="D17" i="10"/>
  <c r="D12" i="10"/>
  <c r="D24" i="10"/>
  <c r="D13" i="10"/>
  <c r="D21" i="10"/>
  <c r="D10" i="10"/>
  <c r="D26" i="10"/>
  <c r="C30" i="10"/>
  <c r="D16" i="10"/>
  <c r="C145" i="2"/>
  <c r="F664" i="1"/>
  <c r="I660" i="1"/>
  <c r="I664" i="1" s="1"/>
  <c r="I672" i="1" s="1"/>
  <c r="C7" i="10" s="1"/>
  <c r="G637" i="1"/>
  <c r="H646" i="1"/>
  <c r="J646" i="1" s="1"/>
  <c r="C41" i="10"/>
  <c r="D38" i="10" s="1"/>
  <c r="G470" i="1" l="1"/>
  <c r="G476" i="1" s="1"/>
  <c r="H623" i="1" s="1"/>
  <c r="J623" i="1" s="1"/>
  <c r="H628" i="1"/>
  <c r="J628" i="1" s="1"/>
  <c r="F470" i="1"/>
  <c r="H627" i="1"/>
  <c r="J627" i="1" s="1"/>
  <c r="J637" i="1"/>
  <c r="H474" i="1"/>
  <c r="H476" i="1" s="1"/>
  <c r="H624" i="1" s="1"/>
  <c r="J624" i="1" s="1"/>
  <c r="H633" i="1"/>
  <c r="J633" i="1"/>
  <c r="F474" i="1"/>
  <c r="H632" i="1"/>
  <c r="J632" i="1" s="1"/>
  <c r="D28" i="10"/>
  <c r="I667" i="1"/>
  <c r="F672" i="1"/>
  <c r="C4" i="10" s="1"/>
  <c r="F667" i="1"/>
  <c r="D37" i="10"/>
  <c r="D36" i="10"/>
  <c r="D35" i="10"/>
  <c r="D40" i="10"/>
  <c r="D39" i="10"/>
  <c r="F476" i="1" l="1"/>
  <c r="H622" i="1" s="1"/>
  <c r="J622" i="1" s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<sst xmlns="http://schemas.openxmlformats.org/spreadsheetml/2006/main" count="3957" uniqueCount="915">
  <si>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</si>
  <si>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</si>
  <si>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</si>
  <si>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</si>
  <si>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</si>
  <si>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</si>
  <si>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</si>
  <si>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</si>
  <si>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</si>
  <si>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</si>
  <si>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</si>
  <si>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</si>
  <si>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</si>
  <si>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</si>
  <si>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</si>
  <si>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</si>
  <si>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</si>
  <si>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</si>
  <si>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</si>
  <si>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</si>
  <si>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</si>
  <si>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</si>
  <si>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</si>
  <si>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</si>
  <si>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</si>
  <si>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</si>
  <si>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</si>
  <si>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</si>
  <si>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</si>
  <si>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</si>
  <si>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</si>
  <si>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</si>
  <si>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</si>
  <si>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</si>
  <si>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</si>
  <si>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</si>
  <si>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</si>
  <si>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</si>
  <si>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</si>
  <si>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</si>
  <si>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</si>
  <si>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</si>
  <si>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</si>
  <si>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</si>
  <si>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</si>
  <si>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</si>
  <si>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</si>
  <si>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</si>
  <si>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</si>
  <si>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</si>
  <si>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</si>
  <si>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</si>
  <si>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</si>
  <si>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</si>
  <si>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</si>
  <si>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</si>
  <si>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</si>
  <si>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</si>
  <si>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</si>
  <si>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</si>
  <si>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</si>
  <si>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</si>
  <si>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</si>
  <si>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</si>
  <si>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</si>
  <si>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</si>
  <si>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</si>
  <si>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</si>
  <si>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</si>
  <si>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</si>
  <si>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</si>
  <si>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</si>
  <si>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</si>
  <si>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</si>
  <si>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</si>
  <si>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</si>
  <si>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</si>
  <si>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</si>
  <si>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</si>
  <si>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</si>
  <si>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</si>
  <si>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</si>
  <si>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</si>
  <si>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</si>
  <si>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</si>
  <si>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</si>
  <si>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</si>
  <si>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</si>
  <si>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</si>
  <si>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</si>
  <si>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</si>
  <si>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</si>
  <si>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</si>
  <si>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</si>
  <si>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</si>
  <si>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</si>
  <si>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</si>
  <si>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</si>
  <si>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</si>
  <si>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</si>
  <si>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</si>
  <si>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</si>
  <si>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</si>
  <si>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</si>
  <si>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</si>
  <si>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</si>
  <si>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</si>
  <si>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</si>
  <si>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</si>
  <si>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</si>
  <si>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</si>
  <si>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</si>
  <si>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</si>
  <si>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</si>
  <si>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</si>
  <si>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</si>
  <si>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</si>
  <si>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</si>
  <si>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</si>
  <si>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</si>
  <si>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</si>
  <si>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</si>
  <si>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</si>
  <si>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</si>
  <si>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</si>
  <si>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</si>
  <si>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</si>
  <si>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</si>
  <si>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</si>
  <si>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</si>
  <si>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</si>
  <si>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</si>
  <si>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</si>
  <si>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</si>
  <si>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</si>
  <si>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</si>
  <si>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</si>
  <si>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</si>
  <si>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</si>
  <si>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</si>
  <si>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</si>
  <si>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</si>
  <si>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</si>
  <si>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</si>
  <si>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</si>
  <si>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</si>
  <si>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</si>
  <si>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</si>
  <si>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</si>
  <si>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</si>
  <si>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</si>
  <si>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</si>
  <si>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</si>
  <si>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</si>
  <si>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</si>
  <si>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</si>
  <si>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</si>
  <si>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</si>
  <si>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</si>
  <si>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</si>
  <si>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</si>
  <si>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</si>
  <si>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</si>
  <si>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</si>
  <si>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</si>
  <si>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</si>
  <si>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</si>
  <si>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</si>
  <si>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</si>
  <si>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</si>
  <si>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</si>
  <si>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</si>
  <si>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</si>
  <si>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</si>
  <si>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</si>
  <si>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</si>
  <si>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</si>
  <si>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</si>
  <si>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</si>
  <si>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</si>
  <si>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</si>
  <si>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</si>
  <si>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</si>
  <si>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</si>
  <si>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</si>
  <si>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</si>
  <si>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</si>
  <si>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</si>
  <si>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</si>
  <si>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</si>
  <si>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</si>
  <si>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</si>
  <si>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</si>
  <si>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</si>
  <si>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</si>
  <si>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</si>
  <si>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</si>
  <si>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</si>
  <si>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</si>
  <si>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</si>
  <si>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</si>
  <si>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</si>
  <si>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</si>
  <si>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</si>
  <si>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</si>
  <si>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</si>
  <si>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</si>
  <si>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</si>
  <si>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</si>
  <si>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</si>
  <si>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</si>
  <si>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</si>
  <si>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</si>
  <si>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</si>
  <si>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</si>
  <si>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</si>
  <si>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</si>
  <si>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</si>
  <si>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</si>
  <si>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</si>
  <si>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</si>
  <si>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</si>
  <si>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</si>
  <si>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</si>
  <si>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</si>
  <si>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</si>
  <si>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</si>
  <si>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</si>
  <si>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</si>
  <si>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</si>
  <si>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</si>
  <si>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</si>
  <si>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</si>
  <si>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</si>
  <si>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</si>
  <si>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</si>
  <si>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</si>
  <si>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</si>
  <si>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</si>
  <si>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</si>
  <si>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</si>
  <si>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</si>
  <si>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</si>
  <si>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</si>
  <si>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</si>
  <si>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</si>
  <si>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</si>
  <si>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</si>
  <si>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</si>
  <si>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</si>
  <si>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</si>
  <si>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</si>
  <si>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</si>
  <si>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</si>
  <si>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</si>
  <si>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</si>
  <si>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</si>
  <si>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</si>
  <si>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</si>
  <si>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</si>
  <si>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</si>
  <si>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</si>
  <si>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</si>
  <si>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</si>
  <si>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</si>
  <si>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</si>
  <si>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</si>
  <si>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</si>
  <si>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</si>
  <si>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</si>
  <si>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</si>
  <si>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</si>
  <si>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</si>
  <si>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</si>
  <si>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</si>
  <si>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</si>
  <si>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</si>
  <si>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</si>
  <si>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</si>
  <si>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</si>
  <si>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</si>
  <si>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</si>
  <si>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</si>
  <si>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</si>
  <si>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</si>
  <si>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</si>
  <si>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</si>
  <si>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</si>
  <si>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</si>
  <si>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</si>
  <si>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</si>
  <si>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</si>
  <si>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</si>
  <si>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</si>
  <si>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</si>
  <si>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</si>
  <si>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</si>
  <si>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</si>
  <si>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</si>
  <si>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</si>
  <si>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</si>
  <si>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</si>
  <si>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</si>
  <si>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</si>
  <si>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</si>
  <si>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</si>
  <si>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</si>
  <si>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</si>
  <si>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</si>
  <si>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</si>
  <si>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</si>
  <si>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</si>
  <si>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</si>
  <si>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</si>
  <si>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</si>
  <si>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</si>
  <si>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</si>
  <si>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</si>
  <si>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</si>
  <si>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</si>
  <si>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</si>
  <si>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</si>
  <si>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</si>
  <si>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</si>
  <si>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</si>
  <si>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</si>
  <si>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</si>
  <si>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</si>
  <si>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</si>
  <si>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</si>
  <si>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</si>
  <si>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</si>
  <si>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</si>
  <si>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</si>
  <si>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</si>
  <si>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</si>
  <si>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</si>
  <si>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</si>
  <si>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</si>
  <si>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</si>
  <si>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</si>
  <si>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</si>
  <si>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</si>
  <si>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</si>
  <si>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</si>
  <si>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</si>
  <si>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</si>
  <si>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</si>
  <si>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</si>
  <si>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</si>
  <si>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</si>
  <si>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</si>
  <si>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</si>
  <si>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</si>
  <si>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</si>
  <si>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</si>
  <si>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</si>
  <si>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</si>
  <si>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</si>
  <si>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</si>
  <si>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</si>
  <si>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</si>
  <si>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</si>
  <si>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</si>
  <si>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</si>
  <si>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</si>
  <si>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</si>
  <si>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</si>
  <si>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</si>
  <si>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</si>
  <si>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</si>
  <si>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</si>
  <si>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</si>
  <si>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</si>
  <si>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</si>
  <si>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</si>
  <si>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</si>
  <si>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</si>
  <si>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</si>
  <si>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</si>
  <si>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</si>
  <si>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</si>
  <si>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</si>
  <si>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</si>
  <si>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</si>
  <si>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</si>
  <si>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</si>
  <si>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</si>
  <si>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</si>
  <si>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</si>
  <si>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</si>
  <si>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</si>
  <si>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</si>
  <si>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</si>
  <si>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</si>
  <si>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</si>
  <si>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</si>
  <si>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</si>
  <si>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</si>
  <si>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</si>
  <si>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</si>
  <si>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</si>
  <si>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</si>
  <si>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</si>
  <si>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</si>
  <si>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</si>
  <si>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</si>
  <si>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</si>
  <si>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</si>
  <si>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</si>
  <si>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</si>
  <si>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</si>
  <si>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</si>
  <si>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</si>
  <si>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</si>
  <si>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</si>
  <si>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</si>
  <si>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</si>
  <si>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</si>
  <si>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</si>
  <si>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</si>
  <si>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</si>
  <si>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</si>
  <si>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</si>
  <si>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</si>
  <si>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</si>
  <si>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</si>
  <si>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</si>
  <si>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</si>
  <si>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</si>
  <si>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</si>
  <si>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</si>
  <si>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</si>
  <si>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</si>
  <si>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</si>
  <si>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</si>
  <si>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</si>
  <si>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</si>
  <si>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</si>
  <si>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</si>
  <si>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</si>
  <si>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</si>
  <si>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</si>
  <si>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</si>
  <si>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</si>
  <si>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</si>
  <si>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</si>
  <si>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</si>
  <si>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</si>
  <si>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</si>
  <si>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</si>
  <si>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</si>
  <si>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</si>
  <si>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</si>
  <si>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</si>
  <si>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</si>
  <si>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</si>
  <si>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</si>
  <si>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</si>
  <si>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</si>
  <si>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</si>
  <si>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</si>
  <si>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</si>
  <si>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</si>
  <si>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</si>
  <si>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</si>
  <si>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</si>
  <si>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</si>
  <si>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</si>
  <si>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</si>
  <si>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</si>
  <si>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</si>
  <si>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</si>
  <si>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</si>
  <si>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</si>
  <si>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</si>
  <si>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</si>
  <si>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</si>
  <si>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</si>
  <si>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</si>
  <si>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</si>
  <si>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</si>
  <si>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</si>
  <si>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</si>
  <si>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</si>
  <si>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</si>
  <si>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</si>
  <si>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</si>
  <si>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</si>
  <si>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</si>
  <si>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</si>
  <si>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</si>
  <si>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</si>
  <si>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</si>
  <si>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</si>
  <si>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</si>
  <si>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</si>
  <si>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</si>
  <si>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</si>
  <si>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</si>
  <si>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</si>
  <si>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</si>
  <si>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</si>
  <si>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</si>
  <si>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</si>
  <si>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</si>
  <si>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</si>
  <si>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</si>
  <si>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</si>
  <si>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</si>
  <si>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</si>
  <si>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</si>
  <si>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</si>
  <si>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</si>
  <si>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</si>
  <si>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</si>
  <si>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</si>
  <si>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</si>
  <si>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</si>
  <si>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</si>
  <si>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</si>
  <si>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</si>
  <si>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</si>
  <si>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</si>
  <si>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</si>
  <si>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</si>
  <si>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</si>
  <si>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</si>
  <si>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</si>
  <si>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</si>
  <si>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</si>
  <si>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</si>
  <si>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</si>
  <si>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</si>
  <si>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</si>
  <si>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</si>
  <si>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</si>
  <si>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</si>
  <si>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</si>
  <si>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</si>
  <si>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</si>
  <si>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</si>
  <si>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</si>
  <si>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</si>
  <si>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</si>
  <si>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</si>
  <si>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</si>
  <si>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</si>
  <si>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</si>
  <si>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</si>
  <si>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</si>
  <si>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</si>
  <si>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</si>
  <si>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</si>
  <si>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</si>
  <si>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</si>
  <si>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</si>
  <si>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</si>
  <si>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</si>
  <si>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</si>
  <si>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</si>
  <si>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</si>
  <si>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</si>
  <si>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</si>
  <si>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</si>
  <si>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</si>
  <si>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</si>
  <si>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</si>
  <si>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</si>
  <si>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</si>
  <si>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</si>
  <si>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</si>
  <si>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</si>
  <si>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</si>
  <si>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</si>
  <si>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</si>
  <si>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</si>
  <si>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</si>
  <si>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</si>
  <si>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</si>
  <si>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</si>
  <si>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</si>
  <si>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</si>
  <si>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</si>
  <si>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</si>
  <si>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</si>
  <si>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</si>
  <si>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</si>
  <si>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</si>
  <si>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</si>
  <si>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</si>
  <si>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</si>
  <si>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</si>
  <si>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</si>
  <si>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</si>
  <si>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</si>
  <si>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</si>
  <si>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</si>
  <si>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</si>
  <si>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</si>
  <si>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</si>
  <si>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</si>
  <si>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</si>
  <si>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</si>
  <si>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</si>
  <si>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</si>
  <si>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</si>
  <si>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</si>
  <si>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</si>
  <si>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</si>
  <si>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</si>
  <si>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</si>
  <si>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</si>
  <si>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</si>
  <si>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</si>
  <si>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</si>
  <si>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</si>
  <si>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</si>
  <si>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</si>
  <si>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</si>
  <si>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</si>
  <si>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</si>
  <si>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</si>
  <si>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</si>
  <si>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</si>
  <si>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</si>
  <si>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</si>
  <si>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</si>
  <si>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</si>
  <si>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</si>
  <si>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</si>
  <si>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</si>
  <si>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</si>
  <si>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</si>
  <si>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</si>
  <si>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</si>
  <si>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</si>
  <si>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</si>
  <si>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</si>
  <si>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</si>
  <si>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</si>
  <si>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</si>
  <si>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</si>
  <si>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</si>
  <si>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</si>
  <si>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</si>
  <si>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</si>
  <si>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</si>
  <si>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</si>
  <si>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</si>
  <si>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</si>
  <si>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</si>
  <si>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</si>
  <si>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</si>
  <si>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</si>
  <si>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</si>
  <si>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</si>
  <si>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</si>
  <si>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</si>
  <si>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</si>
  <si>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</si>
  <si>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</si>
  <si>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</si>
  <si>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</si>
  <si>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</si>
  <si>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</si>
  <si>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</si>
  <si>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</si>
  <si>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</si>
  <si>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</si>
  <si>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</si>
  <si>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</si>
  <si>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</si>
  <si>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</si>
  <si>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</si>
  <si>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</si>
  <si>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</si>
  <si>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</si>
  <si>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</si>
  <si>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</si>
  <si>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</si>
  <si>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</si>
  <si>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</si>
  <si>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</si>
  <si>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</si>
  <si>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</si>
  <si>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</si>
  <si>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</si>
  <si>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</si>
  <si>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</si>
  <si>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</si>
  <si>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</si>
  <si>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</si>
  <si>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</si>
  <si>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</si>
  <si>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</si>
  <si>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</si>
  <si>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</si>
  <si>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</si>
  <si>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</si>
  <si>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</si>
  <si>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</si>
  <si>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</si>
  <si>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</si>
  <si>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</si>
  <si>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</si>
  <si>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</si>
  <si>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</si>
  <si>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</si>
  <si>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</si>
  <si>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</si>
  <si>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</si>
  <si>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</si>
  <si>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</si>
  <si>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</si>
  <si>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</si>
  <si>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</si>
  <si>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</si>
  <si>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</si>
  <si>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</si>
  <si>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</si>
  <si>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</si>
  <si>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</si>
  <si>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</si>
  <si>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</si>
  <si>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</si>
  <si>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</si>
  <si>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</si>
  <si>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</si>
  <si>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</si>
  <si>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</si>
  <si>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</si>
  <si>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</si>
  <si>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</si>
  <si>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</si>
  <si>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</si>
  <si>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</si>
  <si>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</si>
  <si>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</si>
  <si>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</si>
  <si>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</si>
  <si>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</si>
  <si>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</si>
  <si>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</si>
  <si>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</si>
  <si>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</si>
  <si>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</si>
  <si>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</si>
  <si>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</si>
  <si>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</si>
  <si>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</si>
  <si>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</si>
  <si>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</si>
  <si>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</si>
  <si>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</si>
  <si>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</si>
  <si>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</si>
  <si>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</si>
  <si>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</si>
  <si>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</si>
  <si>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</si>
  <si>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</si>
  <si>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</si>
  <si>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</si>
  <si>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</si>
  <si>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</si>
  <si>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</si>
  <si>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</si>
  <si>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</si>
  <si>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</si>
  <si>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</si>
  <si>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</si>
  <si>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</si>
  <si>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</si>
  <si>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</si>
  <si>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</si>
  <si>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</si>
  <si>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</si>
  <si>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</si>
  <si>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</si>
  <si>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</si>
  <si>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</si>
  <si>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</si>
  <si>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</si>
  <si>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</si>
  <si>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</si>
  <si>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</si>
  <si>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</si>
  <si>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</si>
  <si>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</si>
  <si>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</si>
  <si>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</si>
  <si>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</si>
  <si>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</si>
  <si>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</si>
  <si>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</si>
  <si>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</si>
  <si>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</si>
  <si>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</si>
  <si>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</si>
  <si>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</si>
  <si>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</si>
  <si>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</si>
  <si>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</si>
  <si>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</si>
  <si>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</si>
  <si>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</si>
  <si>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</si>
  <si>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</si>
  <si>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</si>
  <si>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</si>
  <si>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</si>
  <si>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</si>
  <si>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</si>
  <si>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</si>
  <si>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</si>
  <si>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</si>
  <si>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</si>
  <si>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</si>
  <si>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</si>
  <si>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</si>
  <si>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</si>
  <si>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</si>
  <si>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</si>
  <si>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</si>
  <si>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</si>
  <si>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</si>
  <si>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</si>
  <si>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</si>
  <si>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</si>
  <si>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</si>
  <si>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</si>
  <si>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</si>
  <si>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</si>
  <si>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</si>
  <si>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</si>
  <si>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</si>
  <si>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</si>
  <si>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</si>
  <si>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</si>
  <si>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</si>
  <si>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</si>
  <si>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</si>
  <si>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</si>
  <si>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</si>
  <si>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</si>
  <si>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</si>
  <si>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</si>
  <si>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</si>
  <si>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</si>
  <si>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</si>
  <si>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</si>
  <si>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</si>
  <si>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</si>
  <si>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</si>
  <si>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</si>
  <si>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</si>
  <si>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</si>
  <si>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</si>
  <si>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</si>
  <si>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</si>
  <si>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</si>
  <si>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</si>
  <si>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</si>
  <si>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</si>
  <si>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</si>
  <si>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</si>
  <si>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</si>
  <si>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</si>
  <si>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</si>
  <si>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</si>
  <si>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</si>
  <si>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</si>
  <si>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</si>
  <si>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</si>
  <si>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</si>
  <si>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</si>
  <si>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</si>
  <si>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</si>
  <si>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</si>
  <si>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</si>
  <si>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</si>
  <si>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</si>
  <si>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</si>
  <si>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</si>
  <si>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</si>
  <si>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</si>
  <si>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</si>
  <si>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</si>
  <si>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</si>
  <si>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</si>
  <si>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</si>
  <si>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</si>
  <si>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</si>
  <si>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</si>
  <si>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</si>
  <si>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</si>
  <si>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</si>
  <si>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</si>
  <si>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</si>
  <si>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</si>
  <si>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</si>
  <si>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</si>
  <si>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</si>
  <si>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</si>
  <si>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</si>
  <si>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</si>
  <si>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</si>
  <si>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</si>
  <si>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</si>
  <si>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</si>
  <si>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</si>
  <si>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Sanborn Regional School District</t>
  </si>
  <si>
    <t>08/04</t>
  </si>
  <si>
    <t>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</si>
</sst>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  <numFmt numFmtId="168" formatCode="&quot;$&quot;#,##0.00"/>
  </numFmts>
  <fonts count="46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10"/>
      <color indexed="8"/>
      <name val="MS Sans Serif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sz val="8"/>
      <name val="Arial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0">
    <xf numFmtId="0" fontId="0" fillId="0" borderId="0"/>
    <xf numFmtId="0" fontId="41" fillId="0" borderId="0"/>
    <xf numFmtId="0" fontId="3" fillId="0" borderId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2" fillId="0" borderId="0"/>
    <xf numFmtId="0" fontId="2" fillId="0" borderId="0"/>
    <xf numFmtId="0" fontId="45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4" fillId="0" borderId="0"/>
    <xf numFmtId="0" fontId="45" fillId="0" borderId="0"/>
    <xf numFmtId="0" fontId="1" fillId="0" borderId="0"/>
    <xf numFmtId="0" fontId="13" fillId="0" borderId="0"/>
    <xf numFmtId="0" fontId="41" fillId="0" borderId="0"/>
    <xf numFmtId="0" fontId="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3" fillId="0" borderId="0"/>
    <xf numFmtId="0" fontId="1" fillId="0" borderId="0"/>
  </cellStyleXfs>
  <cellXfs count="304">
    <xf numFmtId="0" fontId="0" fillId="0" borderId="0" xfId="0"/>
    <xf numFmtId="164" fontId="4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left"/>
    </xf>
    <xf numFmtId="0" fontId="4" fillId="0" borderId="0" xfId="0" applyFont="1"/>
    <xf numFmtId="0" fontId="4" fillId="0" borderId="0" xfId="0" applyFont="1" applyProtection="1">
      <protection locked="0"/>
    </xf>
    <xf numFmtId="164" fontId="4" fillId="0" borderId="0" xfId="0" applyNumberFormat="1" applyFont="1" applyAlignment="1" applyProtection="1">
      <alignment horizontal="center"/>
    </xf>
    <xf numFmtId="165" fontId="4" fillId="0" borderId="0" xfId="0" applyNumberFormat="1" applyFont="1" applyAlignment="1" applyProtection="1">
      <alignment horizontal="center"/>
    </xf>
    <xf numFmtId="165" fontId="4" fillId="0" borderId="0" xfId="0" applyNumberFormat="1" applyFont="1" applyProtection="1"/>
    <xf numFmtId="165" fontId="5" fillId="0" borderId="0" xfId="0" applyNumberFormat="1" applyFont="1" applyProtection="1">
      <protection locked="0"/>
    </xf>
    <xf numFmtId="164" fontId="5" fillId="0" borderId="0" xfId="0" applyNumberFormat="1" applyFont="1" applyProtection="1">
      <protection locked="0"/>
    </xf>
    <xf numFmtId="4" fontId="5" fillId="0" borderId="0" xfId="0" applyNumberFormat="1" applyFont="1" applyProtection="1">
      <protection locked="0"/>
    </xf>
    <xf numFmtId="0" fontId="4" fillId="0" borderId="1" xfId="0" applyFont="1" applyBorder="1"/>
    <xf numFmtId="0" fontId="0" fillId="0" borderId="2" xfId="0" applyBorder="1"/>
    <xf numFmtId="40" fontId="4" fillId="0" borderId="0" xfId="0" applyNumberFormat="1" applyFont="1"/>
    <xf numFmtId="40" fontId="4" fillId="0" borderId="0" xfId="0" applyNumberFormat="1" applyFont="1" applyAlignment="1" applyProtection="1">
      <alignment horizontal="left"/>
    </xf>
    <xf numFmtId="40" fontId="4" fillId="0" borderId="0" xfId="0" quotePrefix="1" applyNumberFormat="1" applyFont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  <protection locked="0"/>
    </xf>
    <xf numFmtId="40" fontId="5" fillId="0" borderId="0" xfId="0" applyNumberFormat="1" applyFont="1" applyProtection="1">
      <protection locked="0"/>
    </xf>
    <xf numFmtId="40" fontId="4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6" fillId="0" borderId="0" xfId="0" applyNumberFormat="1" applyFont="1" applyProtection="1"/>
    <xf numFmtId="0" fontId="4" fillId="0" borderId="0" xfId="0" applyFont="1" applyAlignment="1">
      <alignment horizontal="center"/>
    </xf>
    <xf numFmtId="40" fontId="4" fillId="2" borderId="0" xfId="0" applyNumberFormat="1" applyFont="1" applyFill="1" applyAlignment="1" applyProtection="1">
      <alignment horizontal="left"/>
    </xf>
    <xf numFmtId="40" fontId="8" fillId="0" borderId="0" xfId="0" applyNumberFormat="1" applyFont="1" applyAlignment="1" applyProtection="1">
      <alignment horizontal="center"/>
    </xf>
    <xf numFmtId="40" fontId="8" fillId="0" borderId="0" xfId="0" applyNumberFormat="1" applyFont="1" applyAlignment="1" applyProtection="1">
      <alignment horizontal="left"/>
    </xf>
    <xf numFmtId="0" fontId="9" fillId="0" borderId="0" xfId="0" applyFont="1"/>
    <xf numFmtId="0" fontId="10" fillId="0" borderId="0" xfId="0" applyFont="1"/>
    <xf numFmtId="164" fontId="8" fillId="0" borderId="0" xfId="0" applyNumberFormat="1" applyFont="1" applyAlignment="1" applyProtection="1">
      <alignment horizontal="left"/>
    </xf>
    <xf numFmtId="164" fontId="9" fillId="0" borderId="0" xfId="0" applyNumberFormat="1" applyFont="1" applyAlignment="1" applyProtection="1">
      <alignment horizontal="left"/>
    </xf>
    <xf numFmtId="165" fontId="11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2" fillId="0" borderId="0" xfId="0" applyFont="1"/>
    <xf numFmtId="0" fontId="8" fillId="0" borderId="0" xfId="0" applyFont="1"/>
    <xf numFmtId="165" fontId="14" fillId="0" borderId="0" xfId="0" applyNumberFormat="1" applyFont="1" applyProtection="1">
      <protection locked="0"/>
    </xf>
    <xf numFmtId="165" fontId="4" fillId="0" borderId="0" xfId="0" applyNumberFormat="1" applyFont="1" applyBorder="1" applyAlignment="1" applyProtection="1">
      <alignment horizontal="left"/>
    </xf>
    <xf numFmtId="165" fontId="4" fillId="0" borderId="0" xfId="0" applyNumberFormat="1" applyFont="1" applyBorder="1" applyAlignment="1" applyProtection="1">
      <alignment horizontal="center"/>
    </xf>
    <xf numFmtId="164" fontId="8" fillId="0" borderId="3" xfId="0" applyNumberFormat="1" applyFont="1" applyBorder="1" applyAlignment="1" applyProtection="1">
      <alignment horizontal="left"/>
    </xf>
    <xf numFmtId="165" fontId="4" fillId="0" borderId="3" xfId="0" applyNumberFormat="1" applyFont="1" applyBorder="1" applyAlignment="1" applyProtection="1">
      <alignment horizontal="left"/>
    </xf>
    <xf numFmtId="165" fontId="4" fillId="0" borderId="3" xfId="0" applyNumberFormat="1" applyFont="1" applyBorder="1" applyAlignment="1" applyProtection="1">
      <alignment horizontal="center"/>
    </xf>
    <xf numFmtId="40" fontId="4" fillId="0" borderId="3" xfId="0" applyNumberFormat="1" applyFont="1" applyBorder="1" applyProtection="1"/>
    <xf numFmtId="40" fontId="0" fillId="0" borderId="3" xfId="0" applyNumberFormat="1" applyBorder="1"/>
    <xf numFmtId="0" fontId="12" fillId="0" borderId="3" xfId="0" applyFont="1" applyBorder="1"/>
    <xf numFmtId="0" fontId="4" fillId="0" borderId="3" xfId="0" applyFont="1" applyBorder="1" applyAlignment="1">
      <alignment horizontal="center"/>
    </xf>
    <xf numFmtId="40" fontId="4" fillId="2" borderId="3" xfId="0" applyNumberFormat="1" applyFont="1" applyFill="1" applyBorder="1" applyAlignment="1" applyProtection="1">
      <alignment horizontal="left"/>
    </xf>
    <xf numFmtId="0" fontId="8" fillId="0" borderId="3" xfId="0" applyFont="1" applyBorder="1"/>
    <xf numFmtId="40" fontId="4" fillId="0" borderId="3" xfId="0" applyNumberFormat="1" applyFont="1" applyBorder="1"/>
    <xf numFmtId="165" fontId="4" fillId="0" borderId="4" xfId="0" applyNumberFormat="1" applyFont="1" applyBorder="1" applyAlignment="1" applyProtection="1">
      <alignment horizontal="left"/>
    </xf>
    <xf numFmtId="40" fontId="4" fillId="2" borderId="4" xfId="0" applyNumberFormat="1" applyFont="1" applyFill="1" applyBorder="1" applyAlignment="1" applyProtection="1">
      <alignment horizontal="left"/>
    </xf>
    <xf numFmtId="164" fontId="8" fillId="0" borderId="4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2" fillId="0" borderId="0" xfId="0" applyFont="1" applyBorder="1"/>
    <xf numFmtId="0" fontId="8" fillId="0" borderId="0" xfId="0" applyFont="1" applyBorder="1"/>
    <xf numFmtId="40" fontId="4" fillId="0" borderId="0" xfId="0" applyNumberFormat="1" applyFont="1" applyBorder="1"/>
    <xf numFmtId="49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5" xfId="0" applyFont="1" applyBorder="1"/>
    <xf numFmtId="49" fontId="4" fillId="0" borderId="5" xfId="0" applyNumberFormat="1" applyFont="1" applyBorder="1" applyAlignment="1">
      <alignment horizontal="center"/>
    </xf>
    <xf numFmtId="0" fontId="4" fillId="0" borderId="6" xfId="0" applyFont="1" applyBorder="1"/>
    <xf numFmtId="165" fontId="4" fillId="0" borderId="6" xfId="0" applyNumberFormat="1" applyFont="1" applyBorder="1" applyAlignment="1" applyProtection="1">
      <alignment horizontal="left"/>
    </xf>
    <xf numFmtId="40" fontId="5" fillId="0" borderId="6" xfId="0" applyNumberFormat="1" applyFont="1" applyBorder="1" applyProtection="1">
      <protection locked="0"/>
    </xf>
    <xf numFmtId="40" fontId="5" fillId="0" borderId="0" xfId="0" applyNumberFormat="1" applyFont="1" applyBorder="1" applyProtection="1">
      <protection locked="0"/>
    </xf>
    <xf numFmtId="40" fontId="6" fillId="0" borderId="3" xfId="0" applyNumberFormat="1" applyFont="1" applyBorder="1" applyProtection="1">
      <protection locked="0"/>
    </xf>
    <xf numFmtId="40" fontId="6" fillId="0" borderId="0" xfId="0" applyNumberFormat="1" applyFont="1" applyBorder="1" applyProtection="1">
      <protection locked="0"/>
    </xf>
    <xf numFmtId="40" fontId="4" fillId="0" borderId="0" xfId="0" applyNumberFormat="1" applyFont="1" applyBorder="1" applyProtection="1"/>
    <xf numFmtId="165" fontId="5" fillId="0" borderId="0" xfId="0" applyNumberFormat="1" applyFont="1" applyBorder="1" applyProtection="1">
      <protection locked="0"/>
    </xf>
    <xf numFmtId="164" fontId="4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Border="1" applyAlignment="1" applyProtection="1">
      <alignment horizontal="left"/>
    </xf>
    <xf numFmtId="165" fontId="4" fillId="0" borderId="6" xfId="0" applyNumberFormat="1" applyFont="1" applyBorder="1" applyAlignment="1" applyProtection="1">
      <alignment horizontal="center"/>
    </xf>
    <xf numFmtId="40" fontId="4" fillId="0" borderId="6" xfId="0" applyNumberFormat="1" applyFont="1" applyBorder="1"/>
    <xf numFmtId="0" fontId="4" fillId="0" borderId="6" xfId="0" applyFont="1" applyBorder="1" applyAlignment="1">
      <alignment horizontal="center"/>
    </xf>
    <xf numFmtId="164" fontId="8" fillId="0" borderId="6" xfId="0" applyNumberFormat="1" applyFont="1" applyBorder="1" applyAlignment="1" applyProtection="1">
      <alignment horizontal="left"/>
    </xf>
    <xf numFmtId="0" fontId="4" fillId="0" borderId="0" xfId="0" applyFont="1" applyBorder="1" applyAlignment="1">
      <alignment horizontal="center"/>
    </xf>
    <xf numFmtId="165" fontId="8" fillId="0" borderId="0" xfId="0" applyNumberFormat="1" applyFont="1" applyAlignment="1" applyProtection="1">
      <alignment horizontal="left"/>
    </xf>
    <xf numFmtId="40" fontId="4" fillId="0" borderId="0" xfId="0" applyNumberFormat="1" applyFont="1" applyBorder="1" applyAlignment="1">
      <alignment horizontal="center"/>
    </xf>
    <xf numFmtId="49" fontId="8" fillId="0" borderId="0" xfId="0" applyNumberFormat="1" applyFont="1" applyAlignment="1" applyProtection="1">
      <alignment horizontal="left"/>
    </xf>
    <xf numFmtId="49" fontId="4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4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6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6" fillId="0" borderId="0" xfId="0" applyNumberFormat="1" applyFont="1" applyBorder="1" applyAlignment="1" applyProtection="1">
      <alignment horizontal="right"/>
    </xf>
    <xf numFmtId="40" fontId="6" fillId="0" borderId="0" xfId="0" applyNumberFormat="1" applyFont="1" applyAlignment="1" applyProtection="1">
      <alignment horizontal="right"/>
    </xf>
    <xf numFmtId="40" fontId="6" fillId="0" borderId="3" xfId="0" applyNumberFormat="1" applyFont="1" applyBorder="1" applyAlignment="1" applyProtection="1">
      <alignment horizontal="right"/>
    </xf>
    <xf numFmtId="0" fontId="8" fillId="0" borderId="0" xfId="0" applyFont="1" applyBorder="1" applyProtection="1"/>
    <xf numFmtId="0" fontId="12" fillId="0" borderId="3" xfId="0" applyFont="1" applyBorder="1" applyProtection="1"/>
    <xf numFmtId="0" fontId="12" fillId="0" borderId="0" xfId="0" applyFont="1" applyBorder="1" applyProtection="1"/>
    <xf numFmtId="0" fontId="13" fillId="0" borderId="0" xfId="0" applyFont="1" applyBorder="1" applyProtection="1"/>
    <xf numFmtId="0" fontId="15" fillId="0" borderId="0" xfId="0" applyFont="1" applyBorder="1" applyProtection="1"/>
    <xf numFmtId="40" fontId="5" fillId="0" borderId="0" xfId="0" applyNumberFormat="1" applyFont="1" applyProtection="1"/>
    <xf numFmtId="40" fontId="16" fillId="0" borderId="0" xfId="0" applyNumberFormat="1" applyFont="1" applyProtection="1"/>
    <xf numFmtId="40" fontId="16" fillId="0" borderId="0" xfId="0" applyNumberFormat="1" applyFont="1" applyBorder="1" applyProtection="1"/>
    <xf numFmtId="40" fontId="16" fillId="0" borderId="3" xfId="0" applyNumberFormat="1" applyFont="1" applyBorder="1" applyProtection="1"/>
    <xf numFmtId="40" fontId="6" fillId="0" borderId="0" xfId="0" applyNumberFormat="1" applyFont="1" applyBorder="1" applyProtection="1"/>
    <xf numFmtId="40" fontId="16" fillId="0" borderId="0" xfId="0" applyNumberFormat="1" applyFont="1" applyBorder="1" applyAlignment="1" applyProtection="1">
      <alignment horizontal="center"/>
    </xf>
    <xf numFmtId="40" fontId="6" fillId="0" borderId="0" xfId="0" applyNumberFormat="1" applyFont="1" applyBorder="1" applyAlignment="1" applyProtection="1">
      <alignment horizontal="center"/>
    </xf>
    <xf numFmtId="0" fontId="6" fillId="0" borderId="0" xfId="0" applyNumberFormat="1" applyFont="1" applyAlignment="1" applyProtection="1">
      <alignment horizontal="center" vertical="justify"/>
    </xf>
    <xf numFmtId="40" fontId="6" fillId="0" borderId="0" xfId="0" applyNumberFormat="1" applyFont="1" applyAlignment="1" applyProtection="1">
      <alignment horizontal="center" vertical="justify"/>
    </xf>
    <xf numFmtId="40" fontId="6" fillId="0" borderId="0" xfId="0" applyNumberFormat="1" applyFont="1" applyAlignment="1" applyProtection="1">
      <alignment horizontal="right" vertical="justify"/>
    </xf>
    <xf numFmtId="0" fontId="4" fillId="0" borderId="0" xfId="0" applyFont="1" applyBorder="1" applyAlignment="1" applyProtection="1">
      <alignment horizontal="center"/>
    </xf>
    <xf numFmtId="40" fontId="6" fillId="0" borderId="0" xfId="0" applyNumberFormat="1" applyFont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40" fontId="6" fillId="0" borderId="3" xfId="0" applyNumberFormat="1" applyFont="1" applyBorder="1" applyAlignment="1" applyProtection="1">
      <alignment horizontal="right" vertical="justify"/>
    </xf>
    <xf numFmtId="40" fontId="6" fillId="0" borderId="0" xfId="0" applyNumberFormat="1" applyFont="1" applyBorder="1" applyAlignment="1" applyProtection="1">
      <alignment horizontal="right" vertical="justify"/>
    </xf>
    <xf numFmtId="49" fontId="4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5" fillId="0" borderId="0" xfId="0" applyNumberFormat="1" applyFont="1" applyAlignment="1" applyProtection="1"/>
    <xf numFmtId="40" fontId="16" fillId="0" borderId="0" xfId="0" applyNumberFormat="1" applyFont="1" applyAlignment="1" applyProtection="1">
      <alignment horizontal="center" vertical="justify"/>
    </xf>
    <xf numFmtId="40" fontId="16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2" fillId="0" borderId="0" xfId="0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quotePrefix="1" applyNumberFormat="1" applyFont="1" applyAlignment="1" applyProtection="1">
      <alignment horizontal="left"/>
    </xf>
    <xf numFmtId="14" fontId="4" fillId="0" borderId="0" xfId="0" quotePrefix="1" applyNumberFormat="1" applyFont="1" applyAlignment="1" applyProtection="1">
      <alignment horizontal="left"/>
    </xf>
    <xf numFmtId="40" fontId="6" fillId="0" borderId="0" xfId="0" quotePrefix="1" applyNumberFormat="1" applyFont="1" applyBorder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Continuous" vertical="justify"/>
    </xf>
    <xf numFmtId="40" fontId="16" fillId="0" borderId="0" xfId="0" applyNumberFormat="1" applyFont="1" applyAlignment="1" applyProtection="1">
      <alignment horizontal="centerContinuous"/>
    </xf>
    <xf numFmtId="40" fontId="4" fillId="0" borderId="0" xfId="0" applyNumberFormat="1" applyFont="1" applyProtection="1">
      <protection locked="0"/>
    </xf>
    <xf numFmtId="40" fontId="4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4" fillId="0" borderId="0" xfId="0" applyFont="1" applyProtection="1"/>
    <xf numFmtId="0" fontId="8" fillId="0" borderId="0" xfId="0" applyFont="1" applyProtection="1"/>
    <xf numFmtId="40" fontId="17" fillId="0" borderId="0" xfId="0" applyNumberFormat="1" applyFont="1"/>
    <xf numFmtId="40" fontId="6" fillId="0" borderId="4" xfId="0" applyNumberFormat="1" applyFont="1" applyBorder="1" applyProtection="1"/>
    <xf numFmtId="40" fontId="18" fillId="0" borderId="4" xfId="0" applyNumberFormat="1" applyFont="1" applyBorder="1"/>
    <xf numFmtId="0" fontId="0" fillId="0" borderId="0" xfId="0" applyAlignment="1"/>
    <xf numFmtId="0" fontId="4" fillId="0" borderId="0" xfId="0" applyNumberFormat="1" applyFont="1" applyAlignment="1" applyProtection="1">
      <alignment horizontal="left"/>
    </xf>
    <xf numFmtId="0" fontId="4" fillId="0" borderId="0" xfId="0" applyNumberFormat="1" applyFont="1" applyProtection="1">
      <protection locked="0"/>
    </xf>
    <xf numFmtId="40" fontId="16" fillId="0" borderId="0" xfId="0" applyNumberFormat="1" applyFont="1" applyAlignment="1" applyProtection="1"/>
    <xf numFmtId="40" fontId="6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6" fillId="0" borderId="3" xfId="0" applyNumberFormat="1" applyFont="1" applyBorder="1" applyProtection="1"/>
    <xf numFmtId="40" fontId="6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4" fillId="0" borderId="0" xfId="0" applyNumberFormat="1" applyFont="1" applyAlignment="1" applyProtection="1">
      <alignment horizontal="left"/>
    </xf>
    <xf numFmtId="40" fontId="6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5" fillId="0" borderId="0" xfId="0" applyNumberFormat="1" applyFont="1" applyProtection="1">
      <protection locked="0"/>
    </xf>
    <xf numFmtId="40" fontId="6" fillId="0" borderId="0" xfId="0" applyNumberFormat="1" applyFont="1" applyBorder="1" applyAlignment="1" applyProtection="1">
      <alignment horizontal="left"/>
    </xf>
    <xf numFmtId="40" fontId="16" fillId="0" borderId="0" xfId="0" quotePrefix="1" applyNumberFormat="1" applyFont="1" applyAlignment="1" applyProtection="1">
      <alignment horizontal="left"/>
    </xf>
    <xf numFmtId="0" fontId="6" fillId="0" borderId="3" xfId="0" applyNumberFormat="1" applyFont="1" applyBorder="1" applyAlignment="1" applyProtection="1">
      <alignment horizontal="center" vertical="justify"/>
    </xf>
    <xf numFmtId="40" fontId="6" fillId="0" borderId="3" xfId="0" applyNumberFormat="1" applyFont="1" applyBorder="1" applyAlignment="1" applyProtection="1">
      <alignment horizontal="center" vertical="justify"/>
    </xf>
    <xf numFmtId="40" fontId="19" fillId="0" borderId="0" xfId="0" quotePrefix="1" applyNumberFormat="1" applyFont="1" applyBorder="1" applyAlignment="1" applyProtection="1">
      <alignment horizontal="center" vertical="justify"/>
    </xf>
    <xf numFmtId="40" fontId="19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5" fillId="0" borderId="0" xfId="0" applyNumberFormat="1" applyFont="1" applyAlignment="1" applyProtection="1">
      <alignment horizontal="center"/>
      <protection locked="0"/>
    </xf>
    <xf numFmtId="49" fontId="5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 applyProtection="1">
      <alignment horizontal="left"/>
    </xf>
    <xf numFmtId="0" fontId="4" fillId="0" borderId="0" xfId="0" applyFont="1" applyAlignment="1">
      <alignment horizontal="left"/>
    </xf>
    <xf numFmtId="49" fontId="22" fillId="0" borderId="0" xfId="0" applyNumberFormat="1" applyFont="1" applyAlignment="1" applyProtection="1">
      <alignment horizontal="left"/>
    </xf>
    <xf numFmtId="40" fontId="19" fillId="0" borderId="0" xfId="0" applyNumberFormat="1" applyFont="1" applyProtection="1"/>
    <xf numFmtId="0" fontId="23" fillId="0" borderId="0" xfId="0" applyFont="1" applyBorder="1" applyAlignment="1" applyProtection="1">
      <alignment horizontal="center"/>
    </xf>
    <xf numFmtId="14" fontId="23" fillId="0" borderId="0" xfId="0" quotePrefix="1" applyNumberFormat="1" applyFont="1" applyAlignment="1" applyProtection="1">
      <alignment horizontal="left"/>
    </xf>
    <xf numFmtId="40" fontId="19" fillId="0" borderId="0" xfId="0" applyNumberFormat="1" applyFont="1" applyAlignment="1" applyProtection="1">
      <alignment horizontal="right" vertical="justify"/>
    </xf>
    <xf numFmtId="40" fontId="19" fillId="0" borderId="0" xfId="0" quotePrefix="1" applyNumberFormat="1" applyFont="1" applyAlignment="1" applyProtection="1">
      <alignment horizontal="left" vertical="justify"/>
    </xf>
    <xf numFmtId="40" fontId="19" fillId="0" borderId="0" xfId="0" applyNumberFormat="1" applyFont="1" applyAlignment="1" applyProtection="1">
      <alignment horizontal="center" vertical="justify"/>
      <protection locked="0"/>
    </xf>
    <xf numFmtId="40" fontId="19" fillId="0" borderId="0" xfId="0" applyNumberFormat="1" applyFont="1" applyAlignment="1" applyProtection="1">
      <alignment horizontal="right"/>
    </xf>
    <xf numFmtId="165" fontId="24" fillId="0" borderId="0" xfId="0" applyNumberFormat="1" applyFont="1" applyProtection="1">
      <protection locked="0"/>
    </xf>
    <xf numFmtId="0" fontId="23" fillId="0" borderId="0" xfId="0" applyFont="1"/>
    <xf numFmtId="164" fontId="25" fillId="0" borderId="0" xfId="0" applyNumberFormat="1" applyFont="1" applyAlignment="1" applyProtection="1">
      <alignment horizontal="left"/>
    </xf>
    <xf numFmtId="40" fontId="6" fillId="0" borderId="0" xfId="0" applyNumberFormat="1" applyFont="1" applyAlignment="1" applyProtection="1">
      <alignment horizontal="left"/>
    </xf>
    <xf numFmtId="40" fontId="21" fillId="0" borderId="3" xfId="0" applyNumberFormat="1" applyFont="1" applyBorder="1" applyProtection="1"/>
    <xf numFmtId="40" fontId="21" fillId="0" borderId="0" xfId="0" applyNumberFormat="1" applyFont="1" applyProtection="1"/>
    <xf numFmtId="40" fontId="6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4" fillId="0" borderId="0" xfId="0" applyNumberFormat="1" applyFont="1" applyBorder="1" applyProtection="1">
      <protection locked="0"/>
    </xf>
    <xf numFmtId="40" fontId="4" fillId="0" borderId="0" xfId="0" quotePrefix="1" applyNumberFormat="1" applyFont="1" applyBorder="1" applyAlignment="1">
      <alignment horizontal="center"/>
    </xf>
    <xf numFmtId="40" fontId="16" fillId="0" borderId="0" xfId="0" quotePrefix="1" applyNumberFormat="1" applyFont="1" applyProtection="1"/>
    <xf numFmtId="38" fontId="0" fillId="0" borderId="0" xfId="0" applyNumberFormat="1"/>
    <xf numFmtId="38" fontId="12" fillId="0" borderId="0" xfId="0" applyNumberFormat="1" applyFont="1"/>
    <xf numFmtId="0" fontId="12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2" fillId="0" borderId="0" xfId="0" applyNumberFormat="1" applyFont="1"/>
    <xf numFmtId="0" fontId="13" fillId="0" borderId="0" xfId="0" applyFont="1"/>
    <xf numFmtId="49" fontId="28" fillId="0" borderId="0" xfId="0" applyNumberFormat="1" applyFont="1"/>
    <xf numFmtId="0" fontId="29" fillId="0" borderId="0" xfId="0" applyFont="1"/>
    <xf numFmtId="0" fontId="29" fillId="0" borderId="0" xfId="0" quotePrefix="1" applyFont="1" applyAlignment="1">
      <alignment horizontal="left"/>
    </xf>
    <xf numFmtId="0" fontId="13" fillId="0" borderId="0" xfId="0" quotePrefix="1" applyFont="1" applyBorder="1" applyAlignment="1" applyProtection="1">
      <alignment horizontal="left"/>
    </xf>
    <xf numFmtId="40" fontId="6" fillId="0" borderId="0" xfId="0" quotePrefix="1" applyNumberFormat="1" applyFont="1" applyAlignment="1" applyProtection="1">
      <alignment horizontal="left"/>
    </xf>
    <xf numFmtId="0" fontId="4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left"/>
    </xf>
    <xf numFmtId="40" fontId="6" fillId="0" borderId="4" xfId="0" applyNumberFormat="1" applyFont="1" applyBorder="1" applyAlignment="1" applyProtection="1">
      <alignment horizontal="right"/>
    </xf>
    <xf numFmtId="40" fontId="4" fillId="2" borderId="0" xfId="0" applyNumberFormat="1" applyFont="1" applyFill="1" applyBorder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/>
    </xf>
    <xf numFmtId="0" fontId="4" fillId="0" borderId="3" xfId="0" applyNumberFormat="1" applyFont="1" applyBorder="1" applyAlignment="1" applyProtection="1">
      <alignment horizontal="left"/>
    </xf>
    <xf numFmtId="0" fontId="4" fillId="0" borderId="4" xfId="0" applyNumberFormat="1" applyFont="1" applyBorder="1" applyAlignment="1" applyProtection="1">
      <alignment horizontal="left"/>
    </xf>
    <xf numFmtId="164" fontId="23" fillId="0" borderId="0" xfId="0" applyNumberFormat="1" applyFont="1" applyAlignment="1" applyProtection="1">
      <alignment horizontal="left"/>
    </xf>
    <xf numFmtId="40" fontId="23" fillId="0" borderId="0" xfId="0" applyNumberFormat="1" applyFont="1" applyProtection="1"/>
    <xf numFmtId="40" fontId="6" fillId="0" borderId="5" xfId="0" applyNumberFormat="1" applyFont="1" applyBorder="1" applyProtection="1"/>
    <xf numFmtId="0" fontId="4" fillId="0" borderId="5" xfId="0" applyFont="1" applyBorder="1" applyAlignment="1">
      <alignment horizontal="center"/>
    </xf>
    <xf numFmtId="0" fontId="4" fillId="0" borderId="5" xfId="0" applyNumberFormat="1" applyFont="1" applyBorder="1" applyAlignment="1" applyProtection="1">
      <alignment horizontal="center"/>
    </xf>
    <xf numFmtId="165" fontId="4" fillId="0" borderId="5" xfId="0" applyNumberFormat="1" applyFont="1" applyBorder="1" applyAlignment="1" applyProtection="1">
      <alignment horizontal="left"/>
    </xf>
    <xf numFmtId="40" fontId="5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4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2" fillId="3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3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3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4" fillId="4" borderId="0" xfId="0" applyNumberFormat="1" applyFont="1" applyFill="1" applyAlignment="1" applyProtection="1">
      <alignment horizontal="center"/>
    </xf>
    <xf numFmtId="40" fontId="23" fillId="0" borderId="0" xfId="0" applyNumberFormat="1" applyFont="1" applyAlignment="1" applyProtection="1">
      <alignment horizontal="center"/>
    </xf>
    <xf numFmtId="40" fontId="23" fillId="0" borderId="0" xfId="0" applyNumberFormat="1" applyFont="1"/>
    <xf numFmtId="0" fontId="8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0" fontId="12" fillId="0" borderId="14" xfId="0" applyNumberFormat="1" applyFont="1" applyBorder="1"/>
    <xf numFmtId="4" fontId="12" fillId="0" borderId="0" xfId="0" applyNumberFormat="1" applyFont="1" applyBorder="1"/>
    <xf numFmtId="4" fontId="12" fillId="0" borderId="5" xfId="0" applyNumberFormat="1" applyFont="1" applyBorder="1"/>
    <xf numFmtId="49" fontId="7" fillId="0" borderId="0" xfId="0" applyNumberFormat="1" applyFont="1"/>
    <xf numFmtId="0" fontId="12" fillId="0" borderId="0" xfId="0" applyFont="1" applyAlignment="1">
      <alignment horizontal="right"/>
    </xf>
    <xf numFmtId="4" fontId="12" fillId="0" borderId="14" xfId="0" applyNumberFormat="1" applyFont="1" applyBorder="1"/>
    <xf numFmtId="40" fontId="12" fillId="0" borderId="14" xfId="0" applyNumberFormat="1" applyFont="1" applyBorder="1" applyAlignment="1">
      <alignment horizontal="right"/>
    </xf>
    <xf numFmtId="49" fontId="12" fillId="0" borderId="0" xfId="0" applyNumberFormat="1" applyFont="1" applyAlignment="1">
      <alignment horizontal="center"/>
    </xf>
    <xf numFmtId="40" fontId="8" fillId="0" borderId="0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164" fontId="26" fillId="0" borderId="0" xfId="0" applyNumberFormat="1" applyFont="1" applyAlignment="1" applyProtection="1">
      <alignment horizontal="left"/>
    </xf>
    <xf numFmtId="4" fontId="7" fillId="0" borderId="0" xfId="0" applyNumberFormat="1" applyFont="1" applyProtection="1">
      <protection locked="0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2" fillId="0" borderId="0" xfId="0" applyNumberFormat="1" applyFont="1"/>
    <xf numFmtId="40" fontId="12" fillId="0" borderId="8" xfId="0" applyNumberFormat="1" applyFont="1" applyBorder="1"/>
    <xf numFmtId="2" fontId="7" fillId="0" borderId="0" xfId="0" applyNumberFormat="1" applyFont="1" applyProtection="1">
      <protection locked="0"/>
    </xf>
    <xf numFmtId="2" fontId="5" fillId="0" borderId="0" xfId="0" applyNumberFormat="1" applyFont="1" applyProtection="1">
      <protection locked="0"/>
    </xf>
    <xf numFmtId="166" fontId="12" fillId="0" borderId="0" xfId="0" applyNumberFormat="1" applyFont="1"/>
    <xf numFmtId="0" fontId="12" fillId="0" borderId="1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4" fillId="0" borderId="0" xfId="0" applyFont="1"/>
    <xf numFmtId="49" fontId="29" fillId="0" borderId="0" xfId="0" applyNumberFormat="1" applyFont="1" applyAlignment="1">
      <alignment horizontal="left"/>
    </xf>
    <xf numFmtId="0" fontId="7" fillId="0" borderId="0" xfId="0" applyFont="1"/>
    <xf numFmtId="166" fontId="7" fillId="0" borderId="0" xfId="0" applyNumberFormat="1" applyFont="1"/>
    <xf numFmtId="0" fontId="39" fillId="0" borderId="0" xfId="0" applyFont="1"/>
    <xf numFmtId="0" fontId="28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0" fillId="0" borderId="0" xfId="0" applyFont="1"/>
    <xf numFmtId="168" fontId="33" fillId="0" borderId="0" xfId="2" applyNumberFormat="1" applyFont="1" applyFill="1" applyAlignment="1"/>
    <xf numFmtId="168" fontId="33" fillId="0" borderId="0" xfId="2" applyNumberFormat="1" applyFont="1" applyFill="1" applyAlignment="1"/>
    <xf numFmtId="0" fontId="29" fillId="0" borderId="0" xfId="0" applyFont="1" applyAlignment="1">
      <alignment horizontal="center"/>
    </xf>
    <xf numFmtId="0" fontId="29" fillId="0" borderId="0" xfId="0" applyFont="1" applyAlignment="1"/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0" fillId="0" borderId="0" xfId="0" applyAlignment="1"/>
    <xf numFmtId="0" fontId="27" fillId="0" borderId="0" xfId="0" applyFont="1" applyAlignment="1">
      <alignment horizontal="center"/>
    </xf>
    <xf numFmtId="49" fontId="13" fillId="0" borderId="0" xfId="0" applyNumberFormat="1" applyFont="1" applyAlignment="1" applyProtection="1">
      <alignment horizontal="left"/>
      <protection locked="0"/>
    </xf>
    <xf numFmtId="49" fontId="13" fillId="0" borderId="0" xfId="0" applyNumberFormat="1" applyFont="1" applyAlignment="1" applyProtection="1">
      <alignment horizontal="left"/>
    </xf>
    <xf numFmtId="49" fontId="13" fillId="0" borderId="0" xfId="0" applyNumberFormat="1" applyFont="1" applyBorder="1" applyAlignment="1" applyProtection="1">
      <alignment horizontal="left"/>
      <protection locked="0"/>
    </xf>
    <xf numFmtId="49" fontId="13" fillId="0" borderId="10" xfId="0" applyNumberFormat="1" applyFont="1" applyBorder="1" applyAlignment="1" applyProtection="1">
      <alignment horizontal="left"/>
      <protection locked="0"/>
    </xf>
    <xf numFmtId="0" fontId="30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49" fontId="33" fillId="0" borderId="0" xfId="0" applyNumberFormat="1" applyFont="1" applyBorder="1" applyAlignment="1"/>
    <xf numFmtId="0" fontId="33" fillId="0" borderId="0" xfId="0" applyFont="1" applyBorder="1" applyAlignment="1"/>
    <xf numFmtId="0" fontId="32" fillId="0" borderId="11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49" fontId="13" fillId="0" borderId="0" xfId="0" applyNumberFormat="1" applyFont="1" applyBorder="1" applyAlignment="1" applyProtection="1">
      <alignment horizontal="left"/>
    </xf>
    <xf numFmtId="49" fontId="13" fillId="0" borderId="10" xfId="0" applyNumberFormat="1" applyFont="1" applyBorder="1" applyAlignment="1" applyProtection="1">
      <alignment horizontal="left"/>
    </xf>
    <xf numFmtId="49" fontId="12" fillId="0" borderId="0" xfId="0" applyNumberFormat="1" applyFont="1" applyAlignment="1" applyProtection="1">
      <alignment horizontal="center"/>
    </xf>
    <xf numFmtId="49" fontId="13" fillId="0" borderId="13" xfId="0" applyNumberFormat="1" applyFont="1" applyBorder="1" applyAlignment="1" applyProtection="1">
      <alignment horizontal="left"/>
      <protection locked="0"/>
    </xf>
    <xf numFmtId="49" fontId="13" fillId="0" borderId="21" xfId="0" applyNumberFormat="1" applyFont="1" applyBorder="1" applyAlignment="1" applyProtection="1">
      <alignment horizontal="left"/>
      <protection locked="0"/>
    </xf>
    <xf numFmtId="0" fontId="31" fillId="0" borderId="0" xfId="0" applyFont="1" applyAlignment="1" applyProtection="1">
      <alignment horizontal="center"/>
    </xf>
  </cellXfs>
  <cellStyles count="20">
    <cellStyle name="Comma 2" xfId="3"/>
    <cellStyle name="Comma 2 2" xfId="16"/>
    <cellStyle name="Comma 3" xfId="8"/>
    <cellStyle name="Normal" xfId="0" builtinId="0"/>
    <cellStyle name="Normal 2" xfId="1"/>
    <cellStyle name="Normal 2 2" xfId="14"/>
    <cellStyle name="Normal 2 3" xfId="11"/>
    <cellStyle name="Normal 3" xfId="2"/>
    <cellStyle name="Normal 3 2" xfId="6"/>
    <cellStyle name="Normal 3 2 2" xfId="19"/>
    <cellStyle name="Normal 3 3" xfId="15"/>
    <cellStyle name="Normal 3 4" xfId="12"/>
    <cellStyle name="Normal 4" xfId="5"/>
    <cellStyle name="Normal 4 2" xfId="18"/>
    <cellStyle name="Normal 4 3" xfId="10"/>
    <cellStyle name="Normal 5" xfId="13"/>
    <cellStyle name="Normal 6" xfId="7"/>
    <cellStyle name="Percent 2" xfId="4"/>
    <cellStyle name="Percent 2 2" xfId="17"/>
    <cellStyle name="Percent 3" xfId="9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zoomScaleSheetLayoutView="80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476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2252403.7599999998</v>
      </c>
      <c r="G9" s="18"/>
      <c r="H9" s="18"/>
      <c r="I9" s="18"/>
      <c r="J9" s="67">
        <f>SUM(I439)</f>
        <v>383267.07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52245.19</v>
      </c>
      <c r="H12" s="18">
        <v>13886.25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10018.24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f>578863.22-75000-75000-875.28-65848.76</f>
        <v>362139.17999999993</v>
      </c>
      <c r="G14" s="18"/>
      <c r="H14" s="18">
        <f>393578.55+5729.53</f>
        <v>399308.08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107182.67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2721725.6099999994</v>
      </c>
      <c r="G19" s="41">
        <f>SUM(G9:G18)</f>
        <v>62263.43</v>
      </c>
      <c r="H19" s="41">
        <f>SUM(H9:H18)</f>
        <v>413194.33</v>
      </c>
      <c r="I19" s="41">
        <f>SUM(I9:I18)</f>
        <v>0</v>
      </c>
      <c r="J19" s="41">
        <f>SUM(J9:J18)</f>
        <v>383267.07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57974.720000000001</v>
      </c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1006464.16-18379.69</f>
        <v>988084.47000000009</v>
      </c>
      <c r="G24" s="18">
        <v>353.22</v>
      </c>
      <c r="H24" s="18">
        <v>68465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60608.42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39069.01</v>
      </c>
      <c r="G30" s="18">
        <v>11196.4</v>
      </c>
      <c r="H30" s="18">
        <v>43458.44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26364.17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1172100.79</v>
      </c>
      <c r="G32" s="41">
        <f>SUM(G22:G31)</f>
        <v>11549.619999999999</v>
      </c>
      <c r="H32" s="41">
        <f>SUM(H22:H31)</f>
        <v>111923.44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107182.67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>
        <f>23845.27+26868.54</f>
        <v>50713.81</v>
      </c>
      <c r="H43" s="18">
        <f>325699.34+1110921.6-1140150.05</f>
        <v>296470.89000000013</v>
      </c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383267.07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f>328901.91-12094.01</f>
        <v>316807.89999999997</v>
      </c>
      <c r="G49" s="18"/>
      <c r="H49" s="18">
        <v>4800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1166878.82+90000.13-F36-20964.76+12094.01+162181.76-153660.96-35649-75000-875.28-65848.76+153660.96</f>
        <v>1125634.2500000002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1549624.8200000003</v>
      </c>
      <c r="G51" s="41">
        <f>SUM(G35:G50)</f>
        <v>50713.81</v>
      </c>
      <c r="H51" s="41">
        <f>SUM(H35:H50)</f>
        <v>301270.89000000013</v>
      </c>
      <c r="I51" s="41">
        <f>SUM(I35:I50)</f>
        <v>0</v>
      </c>
      <c r="J51" s="41">
        <f>SUM(J35:J50)</f>
        <v>383267.07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2721725.6100000003</v>
      </c>
      <c r="G52" s="41">
        <f>G51+G32</f>
        <v>62263.429999999993</v>
      </c>
      <c r="H52" s="41">
        <f>H51+H32</f>
        <v>413194.33000000013</v>
      </c>
      <c r="I52" s="41">
        <f>I51+I32</f>
        <v>0</v>
      </c>
      <c r="J52" s="41">
        <f>J51+J32</f>
        <v>383267.07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11168444+9727131</f>
        <v>20895575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20895575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36850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8735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f>3854554.25-75000-65848.76</f>
        <v>3713705.49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3759290.49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17718.87</v>
      </c>
      <c r="G96" s="18"/>
      <c r="H96" s="18"/>
      <c r="I96" s="18"/>
      <c r="J96" s="18">
        <v>1906.91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378127.94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f>31763.39-875.28</f>
        <v>30888.11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3560.38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63450.89</v>
      </c>
      <c r="G110" s="18"/>
      <c r="H110" s="18">
        <v>168286.58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115618.25</v>
      </c>
      <c r="G111" s="41">
        <f>SUM(G96:G110)</f>
        <v>378127.94</v>
      </c>
      <c r="H111" s="41">
        <f>SUM(H96:H110)</f>
        <v>168286.58</v>
      </c>
      <c r="I111" s="41">
        <f>SUM(I96:I110)</f>
        <v>0</v>
      </c>
      <c r="J111" s="41">
        <f>SUM(J96:J110)</f>
        <v>1906.91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24770483.740000002</v>
      </c>
      <c r="G112" s="41">
        <f>G60+G111</f>
        <v>378127.94</v>
      </c>
      <c r="H112" s="41">
        <f>H60+H79+H94+H111</f>
        <v>168286.58</v>
      </c>
      <c r="I112" s="41">
        <f>I60+I111</f>
        <v>0</v>
      </c>
      <c r="J112" s="41">
        <f>J60+J111</f>
        <v>1906.91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3511929.79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f>1548182+1088955</f>
        <v>2637137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6149066.79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616322.35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245216.46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28249.200000000001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7099.26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>
        <f>43579.22+14775.33+16076.46</f>
        <v>74431.010000000009</v>
      </c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889788.00999999989</v>
      </c>
      <c r="G136" s="41">
        <f>SUM(G123:G135)</f>
        <v>7099.26</v>
      </c>
      <c r="H136" s="41">
        <f>SUM(H123:H135)</f>
        <v>74431.010000000009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7038854.7999999998</v>
      </c>
      <c r="G140" s="41">
        <f>G121+SUM(G136:G137)</f>
        <v>7099.26</v>
      </c>
      <c r="H140" s="41">
        <f>H121+SUM(H136:H139)</f>
        <v>74431.010000000009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183203.35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263310.58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129729.24+11772.24</f>
        <v>141501.48000000001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120235.55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421690.08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120235.55</v>
      </c>
      <c r="G162" s="41">
        <f>SUM(G150:G161)</f>
        <v>141501.48000000001</v>
      </c>
      <c r="H162" s="41">
        <f>SUM(H150:H161)</f>
        <v>868204.01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120235.55</v>
      </c>
      <c r="G169" s="41">
        <f>G147+G162+SUM(G163:G168)</f>
        <v>141501.48000000001</v>
      </c>
      <c r="H169" s="41">
        <f>H147+H162+SUM(H163:H168)</f>
        <v>868204.01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38748.5</v>
      </c>
      <c r="H179" s="18"/>
      <c r="I179" s="18"/>
      <c r="J179" s="18">
        <v>153660.96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38748.5</v>
      </c>
      <c r="H183" s="41">
        <f>SUM(H179:H182)</f>
        <v>0</v>
      </c>
      <c r="I183" s="41">
        <f>SUM(I179:I182)</f>
        <v>0</v>
      </c>
      <c r="J183" s="41">
        <f>SUM(J179:J182)</f>
        <v>153660.96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38748.5</v>
      </c>
      <c r="H192" s="41">
        <f>+H183+SUM(H188:H191)</f>
        <v>0</v>
      </c>
      <c r="I192" s="41">
        <f>I177+I183+SUM(I188:I191)</f>
        <v>0</v>
      </c>
      <c r="J192" s="41">
        <f>J183</f>
        <v>153660.96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31929574.090000004</v>
      </c>
      <c r="G193" s="47">
        <f>G112+G140+G169+G192</f>
        <v>565477.18000000005</v>
      </c>
      <c r="H193" s="47">
        <f>H112+H140+H169+H192</f>
        <v>1110921.6000000001</v>
      </c>
      <c r="I193" s="47">
        <f>I112+I140+I169+I192</f>
        <v>0</v>
      </c>
      <c r="J193" s="47">
        <f>J112+J140+J192</f>
        <v>155567.87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3084577.72</v>
      </c>
      <c r="G197" s="18">
        <f>1576328.03+0.46+7844.08</f>
        <v>1584172.57</v>
      </c>
      <c r="H197" s="18">
        <f>33258.38+38392.37+7429.19</f>
        <v>79079.94</v>
      </c>
      <c r="I197" s="18">
        <f>174133.66+949.25-13.29</f>
        <v>175069.62</v>
      </c>
      <c r="J197" s="18">
        <f>72613.03+26488.44</f>
        <v>99101.47</v>
      </c>
      <c r="K197" s="18">
        <f>24819.68+5186.77-593.28</f>
        <v>29413.170000000002</v>
      </c>
      <c r="L197" s="19">
        <f>SUM(F197:K197)</f>
        <v>5051414.49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1414109.15</v>
      </c>
      <c r="G198" s="18">
        <v>769417.15</v>
      </c>
      <c r="H198" s="18">
        <f>79249.97+260338.75-250</f>
        <v>339338.72</v>
      </c>
      <c r="I198" s="18">
        <v>9393.08</v>
      </c>
      <c r="J198" s="18">
        <v>3491.28</v>
      </c>
      <c r="K198" s="18"/>
      <c r="L198" s="19">
        <f>SUM(F198:K198)</f>
        <v>2535749.3799999994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54203.08</v>
      </c>
      <c r="G200" s="18">
        <v>20258.73</v>
      </c>
      <c r="H200" s="18"/>
      <c r="I200" s="18"/>
      <c r="J200" s="18"/>
      <c r="K200" s="18"/>
      <c r="L200" s="19">
        <f>SUM(F200:K200)</f>
        <v>74461.81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485884.69</v>
      </c>
      <c r="G202" s="18">
        <v>295049.96000000002</v>
      </c>
      <c r="H202" s="18">
        <f>328604.34+250</f>
        <v>328854.34000000003</v>
      </c>
      <c r="I202" s="18">
        <v>2545.4499999999998</v>
      </c>
      <c r="J202" s="18">
        <v>108.09</v>
      </c>
      <c r="K202" s="18"/>
      <c r="L202" s="19">
        <f t="shared" ref="L202:L208" si="0">SUM(F202:K202)</f>
        <v>1112442.53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122096.09</v>
      </c>
      <c r="G203" s="18">
        <v>77414.3</v>
      </c>
      <c r="H203" s="18">
        <v>2367.1799999999998</v>
      </c>
      <c r="I203" s="18">
        <f>17891.29-176.39</f>
        <v>17714.900000000001</v>
      </c>
      <c r="J203" s="18"/>
      <c r="K203" s="18"/>
      <c r="L203" s="19">
        <f t="shared" si="0"/>
        <v>219592.47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199579.27</v>
      </c>
      <c r="G204" s="18">
        <v>62350.73</v>
      </c>
      <c r="H204" s="18">
        <f>45586.54+904.92+7726.8-15580.75</f>
        <v>38637.51</v>
      </c>
      <c r="I204" s="18">
        <v>5754</v>
      </c>
      <c r="J204" s="18">
        <v>3529.55</v>
      </c>
      <c r="K204" s="18">
        <v>9867.7000000000007</v>
      </c>
      <c r="L204" s="19">
        <f t="shared" si="0"/>
        <v>319718.76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534523.18000000005</v>
      </c>
      <c r="G205" s="18">
        <v>235244.02</v>
      </c>
      <c r="H205" s="18">
        <f>4761.23+3199.52+9346.06</f>
        <v>17306.809999999998</v>
      </c>
      <c r="I205" s="18">
        <v>3621.76</v>
      </c>
      <c r="J205" s="18"/>
      <c r="K205" s="18">
        <v>6226</v>
      </c>
      <c r="L205" s="19">
        <f t="shared" si="0"/>
        <v>796921.77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50673.54</v>
      </c>
      <c r="G206" s="18">
        <v>26271.51</v>
      </c>
      <c r="H206" s="18">
        <f>43395.63+192.18+315.34-1708.65</f>
        <v>42194.499999999993</v>
      </c>
      <c r="I206" s="18">
        <v>2234.66</v>
      </c>
      <c r="J206" s="18">
        <f>717.25-379.7</f>
        <v>337.55</v>
      </c>
      <c r="K206" s="18">
        <v>908.94</v>
      </c>
      <c r="L206" s="19">
        <f t="shared" si="0"/>
        <v>122620.7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418221.06</v>
      </c>
      <c r="G207" s="18">
        <v>230376.83</v>
      </c>
      <c r="H207" s="18">
        <f>200+143178.8+26867.54+102076.06</f>
        <v>272322.40000000002</v>
      </c>
      <c r="I207" s="18">
        <f>218033.16-642.07</f>
        <v>217391.09</v>
      </c>
      <c r="J207" s="18">
        <f>-2023.24+24112</f>
        <v>22088.76</v>
      </c>
      <c r="K207" s="18">
        <v>1411.24</v>
      </c>
      <c r="L207" s="19">
        <f t="shared" si="0"/>
        <v>1161811.3800000001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424226.2-9693.74</f>
        <v>414532.46</v>
      </c>
      <c r="I208" s="18">
        <v>24034.080000000002</v>
      </c>
      <c r="J208" s="18"/>
      <c r="K208" s="18"/>
      <c r="L208" s="19">
        <f t="shared" si="0"/>
        <v>438566.54000000004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81021.149999999994</v>
      </c>
      <c r="G209" s="18">
        <v>110584.25</v>
      </c>
      <c r="H209" s="18">
        <f>84785.82-825.85</f>
        <v>83959.97</v>
      </c>
      <c r="I209" s="18"/>
      <c r="J209" s="18"/>
      <c r="K209" s="18"/>
      <c r="L209" s="19">
        <f>SUM(F209:K209)</f>
        <v>275565.37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6444888.9299999997</v>
      </c>
      <c r="G211" s="41">
        <f t="shared" si="1"/>
        <v>3411140.05</v>
      </c>
      <c r="H211" s="41">
        <f t="shared" si="1"/>
        <v>1618593.8299999998</v>
      </c>
      <c r="I211" s="41">
        <f t="shared" si="1"/>
        <v>457758.64</v>
      </c>
      <c r="J211" s="41">
        <f t="shared" si="1"/>
        <v>128656.7</v>
      </c>
      <c r="K211" s="41">
        <f t="shared" si="1"/>
        <v>47827.05</v>
      </c>
      <c r="L211" s="41">
        <f t="shared" si="1"/>
        <v>12108865.199999997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1875759.99</v>
      </c>
      <c r="G215" s="18">
        <f>1009826.92+0.25+4208.16</f>
        <v>1014035.3300000001</v>
      </c>
      <c r="H215" s="18">
        <f>17554.57+16865.86+3126.5</f>
        <v>37546.93</v>
      </c>
      <c r="I215" s="18">
        <f>88497.9-5912.1</f>
        <v>82585.799999999988</v>
      </c>
      <c r="J215" s="18">
        <f>40033.28+30959.82</f>
        <v>70993.100000000006</v>
      </c>
      <c r="K215" s="18">
        <f>6516.4+2782.58+509.25-223.28</f>
        <v>9584.9499999999989</v>
      </c>
      <c r="L215" s="19">
        <f>SUM(F215:K215)</f>
        <v>3090506.1000000006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487751.01</v>
      </c>
      <c r="G216" s="18">
        <v>311297.94</v>
      </c>
      <c r="H216" s="18">
        <f>68992.34+163670.88</f>
        <v>232663.22</v>
      </c>
      <c r="I216" s="18">
        <v>6733.63</v>
      </c>
      <c r="J216" s="18">
        <v>1379.59</v>
      </c>
      <c r="K216" s="18"/>
      <c r="L216" s="19">
        <f>SUM(F216:K216)</f>
        <v>1039825.3899999999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70344.710000000006</v>
      </c>
      <c r="G218" s="18">
        <v>18954.599999999999</v>
      </c>
      <c r="H218" s="18">
        <v>11487.6</v>
      </c>
      <c r="I218" s="18">
        <v>6303.81</v>
      </c>
      <c r="J218" s="18">
        <v>5789.12</v>
      </c>
      <c r="K218" s="18">
        <v>809.9</v>
      </c>
      <c r="L218" s="19">
        <f>SUM(F218:K218)</f>
        <v>113689.73999999999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290726.42</v>
      </c>
      <c r="G220" s="18">
        <v>162713.1</v>
      </c>
      <c r="H220" s="18">
        <f>50017.99+125-125</f>
        <v>50017.99</v>
      </c>
      <c r="I220" s="18">
        <v>2372.4499999999998</v>
      </c>
      <c r="J220" s="18"/>
      <c r="K220" s="18">
        <v>550</v>
      </c>
      <c r="L220" s="19">
        <f t="shared" ref="L220:L226" si="2">SUM(F220:K220)</f>
        <v>506379.96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60943.21</v>
      </c>
      <c r="G221" s="18">
        <v>21631.73</v>
      </c>
      <c r="H221" s="18">
        <v>1269.94</v>
      </c>
      <c r="I221" s="18">
        <f>13857.96-1000</f>
        <v>12857.96</v>
      </c>
      <c r="J221" s="18">
        <v>399</v>
      </c>
      <c r="K221" s="18"/>
      <c r="L221" s="19">
        <f t="shared" si="2"/>
        <v>97101.84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107069.52</v>
      </c>
      <c r="G222" s="18">
        <v>33449.68</v>
      </c>
      <c r="H222" s="18">
        <f>24456.09+485.47+4145.25-8358.7</f>
        <v>20728.11</v>
      </c>
      <c r="I222" s="18">
        <v>3086.88</v>
      </c>
      <c r="J222" s="18">
        <v>1893.52</v>
      </c>
      <c r="K222" s="18">
        <v>5293.78</v>
      </c>
      <c r="L222" s="19">
        <f t="shared" si="2"/>
        <v>171521.49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279117.17</v>
      </c>
      <c r="G223" s="18">
        <v>130940.18</v>
      </c>
      <c r="H223" s="18">
        <f>2525.99+5831.28+4673.02</f>
        <v>13030.29</v>
      </c>
      <c r="I223" s="18"/>
      <c r="J223" s="18"/>
      <c r="K223" s="18">
        <v>3873.1</v>
      </c>
      <c r="L223" s="19">
        <f t="shared" si="2"/>
        <v>426960.73999999993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27185.14</v>
      </c>
      <c r="G224" s="18">
        <v>14094.04</v>
      </c>
      <c r="H224" s="18">
        <f>23280.72+103.1+169.17-916.65</f>
        <v>22636.339999999997</v>
      </c>
      <c r="I224" s="18">
        <v>1198.8399999999999</v>
      </c>
      <c r="J224" s="18">
        <f>384.79-203.7</f>
        <v>181.09000000000003</v>
      </c>
      <c r="K224" s="18">
        <v>487.63</v>
      </c>
      <c r="L224" s="19">
        <f t="shared" si="2"/>
        <v>65783.079999999987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194500.24</v>
      </c>
      <c r="G225" s="18">
        <v>104025.86</v>
      </c>
      <c r="H225" s="18">
        <f>100+58025.12+12868.96+30580.61</f>
        <v>101574.69</v>
      </c>
      <c r="I225" s="18">
        <f>116511.42-440.52</f>
        <v>116070.9</v>
      </c>
      <c r="J225" s="18">
        <f>-1011.62+12056</f>
        <v>11044.38</v>
      </c>
      <c r="K225" s="18">
        <v>821.79</v>
      </c>
      <c r="L225" s="19">
        <f t="shared" si="2"/>
        <v>528037.86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276174.98+2023-5200.46</f>
        <v>272997.51999999996</v>
      </c>
      <c r="I226" s="18">
        <v>12893.71</v>
      </c>
      <c r="J226" s="18"/>
      <c r="K226" s="18"/>
      <c r="L226" s="19">
        <f t="shared" si="2"/>
        <v>285891.23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43465.91</v>
      </c>
      <c r="G227" s="18">
        <v>59325.81</v>
      </c>
      <c r="H227" s="18">
        <f>45485.57-443.05</f>
        <v>45042.52</v>
      </c>
      <c r="I227" s="18"/>
      <c r="J227" s="18"/>
      <c r="K227" s="18"/>
      <c r="L227" s="19">
        <f>SUM(F227:K227)</f>
        <v>147834.23999999999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3436863.3200000003</v>
      </c>
      <c r="G229" s="41">
        <f>SUM(G215:G228)</f>
        <v>1870468.2700000003</v>
      </c>
      <c r="H229" s="41">
        <f>SUM(H215:H228)</f>
        <v>808995.14999999991</v>
      </c>
      <c r="I229" s="41">
        <f>SUM(I215:I228)</f>
        <v>244103.97999999998</v>
      </c>
      <c r="J229" s="41">
        <f>SUM(J215:J228)</f>
        <v>91679.8</v>
      </c>
      <c r="K229" s="41">
        <f t="shared" si="3"/>
        <v>21421.149999999998</v>
      </c>
      <c r="L229" s="41">
        <f t="shared" si="3"/>
        <v>6473531.6700000018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2961992.3</v>
      </c>
      <c r="G233" s="18">
        <f>1331760.58+0.5+8606.38</f>
        <v>1340367.46</v>
      </c>
      <c r="H233" s="18">
        <f>45702.98+61455.38+1622.06</f>
        <v>108780.42</v>
      </c>
      <c r="I233" s="18">
        <f>101085.61-2408.28</f>
        <v>98677.33</v>
      </c>
      <c r="J233" s="18">
        <f>120969.56+4511.11</f>
        <v>125480.67</v>
      </c>
      <c r="K233" s="18">
        <f>13785.2+5690.83+1041.5-650.94</f>
        <v>19866.59</v>
      </c>
      <c r="L233" s="19">
        <f>SUM(F233:K233)</f>
        <v>4655164.7699999996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660634.53</v>
      </c>
      <c r="G234" s="18">
        <v>388229.26</v>
      </c>
      <c r="H234" s="18">
        <f>50272.58+277494.99</f>
        <v>327767.57</v>
      </c>
      <c r="I234" s="18">
        <f>8768.11-296.39</f>
        <v>8471.7200000000012</v>
      </c>
      <c r="J234" s="18">
        <v>2821.48</v>
      </c>
      <c r="K234" s="18"/>
      <c r="L234" s="19">
        <f>SUM(F234:K234)</f>
        <v>1387924.56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174708</v>
      </c>
      <c r="I235" s="18"/>
      <c r="J235" s="18"/>
      <c r="K235" s="18"/>
      <c r="L235" s="19">
        <f>SUM(F235:K235)</f>
        <v>174708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196638.41</v>
      </c>
      <c r="G236" s="18">
        <v>47341.03</v>
      </c>
      <c r="H236" s="18">
        <f>51654.64+2564.45+2800</f>
        <v>57019.09</v>
      </c>
      <c r="I236" s="18">
        <v>16897.88</v>
      </c>
      <c r="J236" s="18">
        <f>48228.71-24402</f>
        <v>23826.71</v>
      </c>
      <c r="K236" s="18">
        <v>15440</v>
      </c>
      <c r="L236" s="19">
        <f>SUM(F236:K236)</f>
        <v>357163.12000000005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437289.68</v>
      </c>
      <c r="G238" s="18">
        <v>235922.83</v>
      </c>
      <c r="H238" s="18">
        <f>83483.01+125-125</f>
        <v>83483.009999999995</v>
      </c>
      <c r="I238" s="18">
        <v>9165.2000000000007</v>
      </c>
      <c r="J238" s="18">
        <v>1818.28</v>
      </c>
      <c r="K238" s="18">
        <v>204</v>
      </c>
      <c r="L238" s="19">
        <f t="shared" ref="L238:L244" si="4">SUM(F238:K238)</f>
        <v>767883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74465.75</v>
      </c>
      <c r="G239" s="18">
        <v>75867.11</v>
      </c>
      <c r="H239" s="18">
        <v>2597.23</v>
      </c>
      <c r="I239" s="18">
        <v>27712.94</v>
      </c>
      <c r="J239" s="18">
        <v>3131.25</v>
      </c>
      <c r="K239" s="18"/>
      <c r="L239" s="19">
        <f t="shared" si="4"/>
        <v>183774.28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218974.78</v>
      </c>
      <c r="G240" s="18">
        <v>68410.100000000006</v>
      </c>
      <c r="H240" s="18">
        <f>50016.72+992.87+8477.71-17094.91</f>
        <v>42392.39</v>
      </c>
      <c r="I240" s="18">
        <v>6313.18</v>
      </c>
      <c r="J240" s="18">
        <v>3872.55</v>
      </c>
      <c r="K240" s="18">
        <v>10826.66</v>
      </c>
      <c r="L240" s="19">
        <f t="shared" si="4"/>
        <v>350789.66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402609.82</v>
      </c>
      <c r="G241" s="18">
        <v>200443.77</v>
      </c>
      <c r="H241" s="18">
        <f>4843.11+14167.23+4673.02</f>
        <v>23683.360000000001</v>
      </c>
      <c r="I241" s="18">
        <f>20092.12+2500</f>
        <v>22592.12</v>
      </c>
      <c r="J241" s="18"/>
      <c r="K241" s="18">
        <v>15435.79</v>
      </c>
      <c r="L241" s="19">
        <f t="shared" si="4"/>
        <v>664764.86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55598.09</v>
      </c>
      <c r="G242" s="18">
        <v>28824.62</v>
      </c>
      <c r="H242" s="18">
        <f>47612.9+210.85+345.98-1874.7</f>
        <v>46295.030000000006</v>
      </c>
      <c r="I242" s="18">
        <v>2451.84</v>
      </c>
      <c r="J242" s="18">
        <f>786.96-416.6</f>
        <v>370.36</v>
      </c>
      <c r="K242" s="18">
        <v>997.27</v>
      </c>
      <c r="L242" s="19">
        <f t="shared" si="4"/>
        <v>134537.20999999996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503183.14</v>
      </c>
      <c r="G243" s="18">
        <v>286625.13</v>
      </c>
      <c r="H243" s="18">
        <f>100+173385.41+53081.9+35256.91</f>
        <v>261824.22</v>
      </c>
      <c r="I243" s="18">
        <f>352747.03-456.54</f>
        <v>352290.49000000005</v>
      </c>
      <c r="J243" s="18">
        <f>-1011.62+12056</f>
        <v>11044.38</v>
      </c>
      <c r="K243" s="18">
        <v>1978.77</v>
      </c>
      <c r="L243" s="19">
        <f t="shared" si="4"/>
        <v>1416946.13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485630.54+14894.2</f>
        <v>500524.74</v>
      </c>
      <c r="I244" s="18">
        <v>26369.759999999998</v>
      </c>
      <c r="J244" s="18"/>
      <c r="K244" s="18"/>
      <c r="L244" s="19">
        <f t="shared" si="4"/>
        <v>526894.5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88894.94</v>
      </c>
      <c r="G245" s="18">
        <v>121331.04</v>
      </c>
      <c r="H245" s="18">
        <f>93025.48-906.1</f>
        <v>92119.37999999999</v>
      </c>
      <c r="I245" s="18"/>
      <c r="J245" s="18"/>
      <c r="K245" s="18"/>
      <c r="L245" s="19">
        <f>SUM(F245:K245)</f>
        <v>302345.36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5600281.4400000004</v>
      </c>
      <c r="G247" s="41">
        <f t="shared" si="5"/>
        <v>2793362.35</v>
      </c>
      <c r="H247" s="41">
        <f t="shared" si="5"/>
        <v>1721194.44</v>
      </c>
      <c r="I247" s="41">
        <f t="shared" si="5"/>
        <v>570942.46000000008</v>
      </c>
      <c r="J247" s="41">
        <f t="shared" si="5"/>
        <v>172365.67999999996</v>
      </c>
      <c r="K247" s="41">
        <f t="shared" si="5"/>
        <v>64749.079999999994</v>
      </c>
      <c r="L247" s="41">
        <f t="shared" si="5"/>
        <v>10922895.449999999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f>273345.08-16701.33+165640</f>
        <v>422283.75</v>
      </c>
      <c r="I255" s="18"/>
      <c r="J255" s="18"/>
      <c r="K255" s="18"/>
      <c r="L255" s="19">
        <f t="shared" si="6"/>
        <v>422283.75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422283.75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422283.75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15482033.690000001</v>
      </c>
      <c r="G257" s="41">
        <f t="shared" si="8"/>
        <v>8074970.6699999999</v>
      </c>
      <c r="H257" s="41">
        <f t="shared" si="8"/>
        <v>4571067.17</v>
      </c>
      <c r="I257" s="41">
        <f t="shared" si="8"/>
        <v>1272805.08</v>
      </c>
      <c r="J257" s="41">
        <f t="shared" si="8"/>
        <v>392702.17999999993</v>
      </c>
      <c r="K257" s="41">
        <f t="shared" si="8"/>
        <v>133997.28</v>
      </c>
      <c r="L257" s="41">
        <f t="shared" si="8"/>
        <v>29927576.069999997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1286752.19</v>
      </c>
      <c r="L260" s="19">
        <f>SUM(F260:K260)</f>
        <v>1286752.19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989013.31</v>
      </c>
      <c r="L261" s="19">
        <f>SUM(F261:K261)</f>
        <v>989013.31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38748.5</v>
      </c>
      <c r="L263" s="19">
        <f>SUM(F263:K263)</f>
        <v>38748.5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153660.96</v>
      </c>
      <c r="L266" s="19">
        <f t="shared" si="9"/>
        <v>153660.96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2468174.96</v>
      </c>
      <c r="L270" s="41">
        <f t="shared" si="9"/>
        <v>2468174.96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15482033.690000001</v>
      </c>
      <c r="G271" s="42">
        <f t="shared" si="11"/>
        <v>8074970.6699999999</v>
      </c>
      <c r="H271" s="42">
        <f t="shared" si="11"/>
        <v>4571067.17</v>
      </c>
      <c r="I271" s="42">
        <f t="shared" si="11"/>
        <v>1272805.08</v>
      </c>
      <c r="J271" s="42">
        <f t="shared" si="11"/>
        <v>392702.17999999993</v>
      </c>
      <c r="K271" s="42">
        <f t="shared" si="11"/>
        <v>2602172.2399999998</v>
      </c>
      <c r="L271" s="42">
        <f t="shared" si="11"/>
        <v>32395751.029999997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87532.63</v>
      </c>
      <c r="G276" s="18">
        <v>20278.78</v>
      </c>
      <c r="H276" s="18">
        <f>744.7+457.79+3557.06</f>
        <v>4759.55</v>
      </c>
      <c r="I276" s="18">
        <v>39316.870000000003</v>
      </c>
      <c r="J276" s="18">
        <v>24496.7</v>
      </c>
      <c r="K276" s="18"/>
      <c r="L276" s="19">
        <f>SUM(F276:K276)</f>
        <v>176384.53000000003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133140.57999999999</v>
      </c>
      <c r="G277" s="18">
        <v>27568.23</v>
      </c>
      <c r="H277" s="18">
        <v>8246.48</v>
      </c>
      <c r="I277" s="18"/>
      <c r="J277" s="18"/>
      <c r="K277" s="18"/>
      <c r="L277" s="19">
        <f>SUM(F277:K277)</f>
        <v>168955.29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11000</v>
      </c>
      <c r="G281" s="18">
        <v>2564.4299999999998</v>
      </c>
      <c r="H281" s="18"/>
      <c r="I281" s="18"/>
      <c r="J281" s="18"/>
      <c r="K281" s="18"/>
      <c r="L281" s="19">
        <f t="shared" ref="L281:L287" si="12">SUM(F281:K281)</f>
        <v>13564.43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30425.4</v>
      </c>
      <c r="G282" s="18">
        <v>6933.58</v>
      </c>
      <c r="H282" s="18">
        <f>87523.29+2053.9</f>
        <v>89577.189999999988</v>
      </c>
      <c r="I282" s="18">
        <v>7357.56</v>
      </c>
      <c r="J282" s="18"/>
      <c r="K282" s="18"/>
      <c r="L282" s="19">
        <f t="shared" si="12"/>
        <v>134293.72999999998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>
        <f>3344-1824</f>
        <v>1520</v>
      </c>
      <c r="J288" s="18"/>
      <c r="K288" s="18"/>
      <c r="L288" s="19">
        <f>SUM(F288:K288)</f>
        <v>1520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262098.61</v>
      </c>
      <c r="G290" s="42">
        <f t="shared" si="13"/>
        <v>57345.02</v>
      </c>
      <c r="H290" s="42">
        <f t="shared" si="13"/>
        <v>102583.21999999999</v>
      </c>
      <c r="I290" s="42">
        <f t="shared" si="13"/>
        <v>48194.43</v>
      </c>
      <c r="J290" s="42">
        <f t="shared" si="13"/>
        <v>24496.7</v>
      </c>
      <c r="K290" s="42">
        <f t="shared" si="13"/>
        <v>0</v>
      </c>
      <c r="L290" s="41">
        <f t="shared" si="13"/>
        <v>494717.98000000004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35852.15</v>
      </c>
      <c r="G295" s="18">
        <v>9016.75</v>
      </c>
      <c r="H295" s="18">
        <f>547.45+277.08+2152.96</f>
        <v>2977.49</v>
      </c>
      <c r="I295" s="18">
        <v>17595.990000000002</v>
      </c>
      <c r="J295" s="18">
        <v>14826.95</v>
      </c>
      <c r="K295" s="18"/>
      <c r="L295" s="19">
        <f>SUM(F295:K295)</f>
        <v>80269.33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75913.91</v>
      </c>
      <c r="G296" s="18">
        <v>15598.69</v>
      </c>
      <c r="H296" s="18">
        <v>4991.29</v>
      </c>
      <c r="I296" s="18"/>
      <c r="J296" s="18"/>
      <c r="K296" s="18"/>
      <c r="L296" s="19">
        <f>SUM(F296:K296)</f>
        <v>96503.89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18415.38</v>
      </c>
      <c r="G301" s="18">
        <v>4196.6400000000003</v>
      </c>
      <c r="H301" s="18">
        <f>52974.62+1243.15</f>
        <v>54217.770000000004</v>
      </c>
      <c r="I301" s="18">
        <v>4453.26</v>
      </c>
      <c r="J301" s="18"/>
      <c r="K301" s="18"/>
      <c r="L301" s="19">
        <f t="shared" si="14"/>
        <v>81283.05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>
        <f>2024-1104</f>
        <v>920</v>
      </c>
      <c r="J307" s="18"/>
      <c r="K307" s="18"/>
      <c r="L307" s="19">
        <f>SUM(F307:K307)</f>
        <v>920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130181.44</v>
      </c>
      <c r="G309" s="42">
        <f t="shared" si="15"/>
        <v>28812.080000000002</v>
      </c>
      <c r="H309" s="42">
        <f t="shared" si="15"/>
        <v>62186.55</v>
      </c>
      <c r="I309" s="42">
        <f t="shared" si="15"/>
        <v>22969.25</v>
      </c>
      <c r="J309" s="42">
        <f t="shared" si="15"/>
        <v>14826.95</v>
      </c>
      <c r="K309" s="42">
        <f t="shared" si="15"/>
        <v>0</v>
      </c>
      <c r="L309" s="41">
        <f t="shared" si="15"/>
        <v>258976.27000000002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18363.150000000001</v>
      </c>
      <c r="G314" s="18">
        <v>7905.35</v>
      </c>
      <c r="H314" s="18">
        <f>512.85+469.83+3650.66</f>
        <v>4633.34</v>
      </c>
      <c r="I314" s="18">
        <v>21812.84</v>
      </c>
      <c r="J314" s="18">
        <v>25916.35</v>
      </c>
      <c r="K314" s="18"/>
      <c r="L314" s="19">
        <f>SUM(F314:K314)</f>
        <v>78631.03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128723.58</v>
      </c>
      <c r="G315" s="18">
        <v>26449.94</v>
      </c>
      <c r="H315" s="18">
        <v>8463.48</v>
      </c>
      <c r="I315" s="18"/>
      <c r="J315" s="18"/>
      <c r="K315" s="18"/>
      <c r="L315" s="19">
        <f>SUM(F315:K315)</f>
        <v>163637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31226.07</v>
      </c>
      <c r="G320" s="18">
        <v>7116.03</v>
      </c>
      <c r="H320" s="18">
        <f>89826.53+2107.96</f>
        <v>91934.49</v>
      </c>
      <c r="I320" s="18">
        <v>7551.18</v>
      </c>
      <c r="J320" s="18"/>
      <c r="K320" s="18"/>
      <c r="L320" s="19">
        <f t="shared" si="16"/>
        <v>137827.76999999999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>
        <f>3432-1872</f>
        <v>1560</v>
      </c>
      <c r="J326" s="18"/>
      <c r="K326" s="18"/>
      <c r="L326" s="19">
        <f>SUM(F326:K326)</f>
        <v>1560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178312.80000000002</v>
      </c>
      <c r="G328" s="42">
        <f t="shared" si="17"/>
        <v>41471.32</v>
      </c>
      <c r="H328" s="42">
        <f t="shared" si="17"/>
        <v>105031.31</v>
      </c>
      <c r="I328" s="42">
        <f t="shared" si="17"/>
        <v>30924.02</v>
      </c>
      <c r="J328" s="42">
        <f t="shared" si="17"/>
        <v>25916.35</v>
      </c>
      <c r="K328" s="42">
        <f t="shared" si="17"/>
        <v>0</v>
      </c>
      <c r="L328" s="41">
        <f t="shared" si="17"/>
        <v>381655.8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570592.85</v>
      </c>
      <c r="G338" s="41">
        <f t="shared" si="20"/>
        <v>127628.42000000001</v>
      </c>
      <c r="H338" s="41">
        <f t="shared" si="20"/>
        <v>269801.07999999996</v>
      </c>
      <c r="I338" s="41">
        <f t="shared" si="20"/>
        <v>102087.7</v>
      </c>
      <c r="J338" s="41">
        <f t="shared" si="20"/>
        <v>65240</v>
      </c>
      <c r="K338" s="41">
        <f t="shared" si="20"/>
        <v>0</v>
      </c>
      <c r="L338" s="41">
        <f t="shared" si="20"/>
        <v>1135350.05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570592.85</v>
      </c>
      <c r="G352" s="41">
        <f>G338</f>
        <v>127628.42000000001</v>
      </c>
      <c r="H352" s="41">
        <f>H338</f>
        <v>269801.07999999996</v>
      </c>
      <c r="I352" s="41">
        <f>I338</f>
        <v>102087.7</v>
      </c>
      <c r="J352" s="41">
        <f>J338</f>
        <v>65240</v>
      </c>
      <c r="K352" s="47">
        <f>K338+K351</f>
        <v>0</v>
      </c>
      <c r="L352" s="41">
        <f>L338+L351</f>
        <v>1135350.05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9341.27+194347.96</f>
        <v>203689.22999999998</v>
      </c>
      <c r="I358" s="18">
        <f>982.05</f>
        <v>982.05</v>
      </c>
      <c r="J358" s="18"/>
      <c r="K358" s="18"/>
      <c r="L358" s="13">
        <f>SUM(F358:K358)</f>
        <v>204671.27999999997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f>5653.93+117631.66</f>
        <v>123285.59</v>
      </c>
      <c r="I359" s="18">
        <v>594.4</v>
      </c>
      <c r="J359" s="18"/>
      <c r="K359" s="18"/>
      <c r="L359" s="19">
        <f>SUM(F359:K359)</f>
        <v>123879.98999999999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f>9587.09+199462.38</f>
        <v>209049.47</v>
      </c>
      <c r="I360" s="18">
        <v>1007.9</v>
      </c>
      <c r="J360" s="18"/>
      <c r="K360" s="18"/>
      <c r="L360" s="19">
        <f>SUM(F360:K360)</f>
        <v>210057.37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536024.28999999992</v>
      </c>
      <c r="I362" s="47">
        <f t="shared" si="22"/>
        <v>2584.35</v>
      </c>
      <c r="J362" s="47">
        <f t="shared" si="22"/>
        <v>0</v>
      </c>
      <c r="K362" s="47">
        <f t="shared" si="22"/>
        <v>0</v>
      </c>
      <c r="L362" s="47">
        <f t="shared" si="22"/>
        <v>538608.6399999999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I358</f>
        <v>982.05</v>
      </c>
      <c r="G368" s="63">
        <f>I359</f>
        <v>594.4</v>
      </c>
      <c r="H368" s="63">
        <f>I360</f>
        <v>1007.9</v>
      </c>
      <c r="I368" s="56">
        <f>SUM(F368:H368)</f>
        <v>2584.35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982.05</v>
      </c>
      <c r="G369" s="47">
        <f>SUM(G367:G368)</f>
        <v>594.4</v>
      </c>
      <c r="H369" s="47">
        <f>SUM(H367:H368)</f>
        <v>1007.9</v>
      </c>
      <c r="I369" s="47">
        <f>SUM(I367:I368)</f>
        <v>2584.35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153660.96</v>
      </c>
      <c r="H396" s="18">
        <v>511.26</v>
      </c>
      <c r="I396" s="18"/>
      <c r="J396" s="24" t="s">
        <v>288</v>
      </c>
      <c r="K396" s="24" t="s">
        <v>288</v>
      </c>
      <c r="L396" s="56">
        <f t="shared" si="26"/>
        <v>154172.22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1395.65</v>
      </c>
      <c r="I397" s="18"/>
      <c r="J397" s="24" t="s">
        <v>288</v>
      </c>
      <c r="K397" s="24" t="s">
        <v>288</v>
      </c>
      <c r="L397" s="56">
        <f t="shared" si="26"/>
        <v>1395.65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153660.96</v>
      </c>
      <c r="H401" s="47">
        <f>SUM(H395:H400)</f>
        <v>1906.91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155567.87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153660.96</v>
      </c>
      <c r="H408" s="47">
        <f>H393+H401+H407</f>
        <v>1906.91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155567.87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2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275">
        <v>154172.22</v>
      </c>
      <c r="G439" s="276">
        <v>229094.85</v>
      </c>
      <c r="H439" s="18"/>
      <c r="I439" s="56">
        <f t="shared" ref="I439:I445" si="33">SUM(F439:H439)</f>
        <v>383267.07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154172.22</v>
      </c>
      <c r="G446" s="13">
        <f>SUM(G439:G445)</f>
        <v>229094.85</v>
      </c>
      <c r="H446" s="13">
        <f>SUM(H439:H445)</f>
        <v>0</v>
      </c>
      <c r="I446" s="13">
        <f>SUM(I439:I445)</f>
        <v>383267.07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154172.22</v>
      </c>
      <c r="G459" s="18">
        <v>229094.85</v>
      </c>
      <c r="H459" s="18"/>
      <c r="I459" s="56">
        <f t="shared" si="34"/>
        <v>383267.07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154172.22</v>
      </c>
      <c r="G460" s="83">
        <f>SUM(G454:G459)</f>
        <v>229094.85</v>
      </c>
      <c r="H460" s="83">
        <f>SUM(H454:H459)</f>
        <v>0</v>
      </c>
      <c r="I460" s="83">
        <f>SUM(I454:I459)</f>
        <v>383267.07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154172.22</v>
      </c>
      <c r="G461" s="42">
        <f>G452+G460</f>
        <v>229094.85</v>
      </c>
      <c r="H461" s="42">
        <f>H452+H460</f>
        <v>0</v>
      </c>
      <c r="I461" s="42">
        <f>I452+I460</f>
        <v>383267.07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2015801.76</v>
      </c>
      <c r="G465" s="18">
        <v>23845.27</v>
      </c>
      <c r="H465" s="18">
        <v>325699.34000000003</v>
      </c>
      <c r="I465" s="18"/>
      <c r="J465" s="18">
        <f>227699.2</f>
        <v>227699.20000000001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31929574.090000004</v>
      </c>
      <c r="G468" s="18">
        <f>G193</f>
        <v>565477.18000000005</v>
      </c>
      <c r="H468" s="18">
        <f>H193</f>
        <v>1110921.6000000001</v>
      </c>
      <c r="I468" s="18"/>
      <c r="J468" s="18">
        <f>+J193</f>
        <v>155567.87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31929574.090000004</v>
      </c>
      <c r="G470" s="53">
        <f>SUM(G468:G469)</f>
        <v>565477.18000000005</v>
      </c>
      <c r="H470" s="53">
        <f>SUM(H468:H469)</f>
        <v>1110921.6000000001</v>
      </c>
      <c r="I470" s="53">
        <f>SUM(I468:I469)</f>
        <v>0</v>
      </c>
      <c r="J470" s="53">
        <f>SUM(J468:J469)</f>
        <v>155567.87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32395751.029999997</v>
      </c>
      <c r="G472" s="18">
        <f>L362</f>
        <v>538608.6399999999</v>
      </c>
      <c r="H472" s="18">
        <f>L352</f>
        <v>1135350.05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32395751.029999997</v>
      </c>
      <c r="G474" s="53">
        <f>SUM(G472:G473)</f>
        <v>538608.6399999999</v>
      </c>
      <c r="H474" s="53">
        <f>SUM(H472:H473)</f>
        <v>1135350.05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1549624.820000004</v>
      </c>
      <c r="G476" s="53">
        <f>(G465+G470)- G474</f>
        <v>50713.810000000172</v>
      </c>
      <c r="H476" s="53">
        <f>(H465+H470)- H474</f>
        <v>301270.89000000013</v>
      </c>
      <c r="I476" s="53">
        <f>(I465+I470)- I474</f>
        <v>0</v>
      </c>
      <c r="J476" s="53">
        <f>(J465+J470)- J474</f>
        <v>383267.07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29770200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4.54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16170395.24</v>
      </c>
      <c r="G495" s="18"/>
      <c r="H495" s="18"/>
      <c r="I495" s="18"/>
      <c r="J495" s="18"/>
      <c r="K495" s="53">
        <f>SUM(F495:J495)</f>
        <v>16170395.24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1286752.19</v>
      </c>
      <c r="G497" s="18"/>
      <c r="H497" s="18"/>
      <c r="I497" s="18"/>
      <c r="J497" s="18"/>
      <c r="K497" s="53">
        <f t="shared" si="35"/>
        <v>1286752.19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14883643.050000001</v>
      </c>
      <c r="G498" s="204"/>
      <c r="H498" s="204"/>
      <c r="I498" s="204"/>
      <c r="J498" s="204"/>
      <c r="K498" s="205">
        <f t="shared" si="35"/>
        <v>14883643.050000001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11104288.52-989013.31</f>
        <v>10115275.209999999</v>
      </c>
      <c r="G499" s="18"/>
      <c r="H499" s="18"/>
      <c r="I499" s="18"/>
      <c r="J499" s="18"/>
      <c r="K499" s="53">
        <f t="shared" si="35"/>
        <v>10115275.209999999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24998918.259999998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24998918.259999998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f>1022193.3+145974.64</f>
        <v>1168167.94</v>
      </c>
      <c r="G501" s="204"/>
      <c r="H501" s="204"/>
      <c r="I501" s="204"/>
      <c r="J501" s="204"/>
      <c r="K501" s="205">
        <f t="shared" si="35"/>
        <v>1168167.94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985523.45+153694.11</f>
        <v>1139217.56</v>
      </c>
      <c r="G502" s="18"/>
      <c r="H502" s="18"/>
      <c r="I502" s="18"/>
      <c r="J502" s="18"/>
      <c r="K502" s="53">
        <f t="shared" si="35"/>
        <v>1139217.56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2307385.5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2307385.5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F198+F277-F562-F567</f>
        <v>1411779.44</v>
      </c>
      <c r="G521" s="18">
        <f t="shared" ref="G521:J521" si="36">G198+G277-G562-G567</f>
        <v>720475.54</v>
      </c>
      <c r="H521" s="18">
        <f t="shared" si="36"/>
        <v>338235.19999999995</v>
      </c>
      <c r="I521" s="18">
        <f t="shared" si="36"/>
        <v>7552.13</v>
      </c>
      <c r="J521" s="18">
        <f t="shared" si="36"/>
        <v>3491.28</v>
      </c>
      <c r="K521" s="18"/>
      <c r="L521" s="88">
        <f>SUM(F521:K521)</f>
        <v>2481533.5899999994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F216+F296-F563-F568</f>
        <v>553109.59000000008</v>
      </c>
      <c r="G522" s="18">
        <f t="shared" ref="G522:J522" si="37">G216+G296-G563-G568</f>
        <v>322431.57</v>
      </c>
      <c r="H522" s="18">
        <f t="shared" si="37"/>
        <v>237654.51</v>
      </c>
      <c r="I522" s="18">
        <f t="shared" si="37"/>
        <v>6418.76</v>
      </c>
      <c r="J522" s="18">
        <f t="shared" si="37"/>
        <v>1379.59</v>
      </c>
      <c r="K522" s="18"/>
      <c r="L522" s="88">
        <f>SUM(F522:K522)</f>
        <v>1120994.0200000003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F234+F315-F564-F569</f>
        <v>767770.73</v>
      </c>
      <c r="G523" s="18">
        <f t="shared" ref="G523:J523" si="38">G234+G315-G564-G569</f>
        <v>405547.43</v>
      </c>
      <c r="H523" s="18">
        <f t="shared" si="38"/>
        <v>336231.05</v>
      </c>
      <c r="I523" s="18">
        <f t="shared" si="38"/>
        <v>8193.7200000000012</v>
      </c>
      <c r="J523" s="18">
        <f t="shared" si="38"/>
        <v>2821.48</v>
      </c>
      <c r="K523" s="18"/>
      <c r="L523" s="88">
        <f>SUM(F523:K523)</f>
        <v>1520564.41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2732659.76</v>
      </c>
      <c r="G524" s="108">
        <f t="shared" ref="G524:L524" si="39">SUM(G521:G523)</f>
        <v>1448454.54</v>
      </c>
      <c r="H524" s="108">
        <f t="shared" si="39"/>
        <v>912120.76</v>
      </c>
      <c r="I524" s="108">
        <f t="shared" si="39"/>
        <v>22164.61</v>
      </c>
      <c r="J524" s="108">
        <f t="shared" si="39"/>
        <v>7692.35</v>
      </c>
      <c r="K524" s="108">
        <f t="shared" si="39"/>
        <v>0</v>
      </c>
      <c r="L524" s="89">
        <f t="shared" si="39"/>
        <v>5123092.0199999996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99533.7+174592.01</f>
        <v>274125.71000000002</v>
      </c>
      <c r="G526" s="18">
        <f>49015.41+93148.2</f>
        <v>142163.60999999999</v>
      </c>
      <c r="H526" s="18">
        <f>99510.24+217875.93</f>
        <v>317386.17</v>
      </c>
      <c r="I526" s="18"/>
      <c r="J526" s="18"/>
      <c r="K526" s="18"/>
      <c r="L526" s="88">
        <f>SUM(F526:K526)</f>
        <v>733675.49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62430.99+672.21</f>
        <v>63103.199999999997</v>
      </c>
      <c r="G527" s="18">
        <f>40650.5+152.61</f>
        <v>40803.11</v>
      </c>
      <c r="H527" s="18">
        <v>32874.75</v>
      </c>
      <c r="I527" s="18"/>
      <c r="J527" s="18"/>
      <c r="K527" s="18">
        <v>550</v>
      </c>
      <c r="L527" s="88">
        <f>SUM(F527:K527)</f>
        <v>137331.06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67772.82+1374.78</f>
        <v>69147.600000000006</v>
      </c>
      <c r="G528" s="18">
        <f>41907.43+312.1</f>
        <v>42219.53</v>
      </c>
      <c r="H528" s="18">
        <v>71553.289999999994</v>
      </c>
      <c r="I528" s="18"/>
      <c r="J528" s="18"/>
      <c r="K528" s="18"/>
      <c r="L528" s="88">
        <f>SUM(F528:K528)</f>
        <v>182920.41999999998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406376.51</v>
      </c>
      <c r="G529" s="89">
        <f t="shared" ref="G529:L529" si="40">SUM(G526:G528)</f>
        <v>225186.24999999997</v>
      </c>
      <c r="H529" s="89">
        <f t="shared" si="40"/>
        <v>421814.20999999996</v>
      </c>
      <c r="I529" s="89">
        <f t="shared" si="40"/>
        <v>0</v>
      </c>
      <c r="J529" s="89">
        <f t="shared" si="40"/>
        <v>0</v>
      </c>
      <c r="K529" s="89">
        <f t="shared" si="40"/>
        <v>550</v>
      </c>
      <c r="L529" s="89">
        <f t="shared" si="40"/>
        <v>1053926.97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66142.679999999993</v>
      </c>
      <c r="G531" s="18">
        <v>27526.51</v>
      </c>
      <c r="H531" s="18">
        <f>192.18+2844.78</f>
        <v>3036.96</v>
      </c>
      <c r="I531" s="18">
        <v>3333.49</v>
      </c>
      <c r="J531" s="18"/>
      <c r="K531" s="18">
        <v>728.45</v>
      </c>
      <c r="L531" s="88">
        <f>SUM(F531:K531)</f>
        <v>100768.09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35483.97</v>
      </c>
      <c r="G532" s="18">
        <v>14767.32</v>
      </c>
      <c r="H532" s="18">
        <f>103.1+1526.16</f>
        <v>1629.26</v>
      </c>
      <c r="I532" s="18">
        <v>1788.34</v>
      </c>
      <c r="J532" s="18"/>
      <c r="K532" s="18">
        <v>390.8</v>
      </c>
      <c r="L532" s="88">
        <f>SUM(F532:K532)</f>
        <v>54059.69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72570.55</v>
      </c>
      <c r="G533" s="18">
        <v>30201.599999999999</v>
      </c>
      <c r="H533" s="18">
        <f>210.85+3121.24</f>
        <v>3332.0899999999997</v>
      </c>
      <c r="I533" s="18">
        <v>3657.43</v>
      </c>
      <c r="J533" s="18"/>
      <c r="K533" s="18">
        <v>799.25</v>
      </c>
      <c r="L533" s="88">
        <f>SUM(F533:K533)</f>
        <v>110560.91999999998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174197.2</v>
      </c>
      <c r="G534" s="89">
        <f t="shared" ref="G534:L534" si="41">SUM(G531:G533)</f>
        <v>72495.429999999993</v>
      </c>
      <c r="H534" s="89">
        <f t="shared" si="41"/>
        <v>7998.3099999999995</v>
      </c>
      <c r="I534" s="89">
        <f t="shared" si="41"/>
        <v>8779.26</v>
      </c>
      <c r="J534" s="89">
        <f t="shared" si="41"/>
        <v>0</v>
      </c>
      <c r="K534" s="89">
        <f t="shared" si="41"/>
        <v>1918.5</v>
      </c>
      <c r="L534" s="89">
        <f t="shared" si="41"/>
        <v>265388.69999999995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8471.32</v>
      </c>
      <c r="I536" s="18"/>
      <c r="J536" s="18"/>
      <c r="K536" s="18"/>
      <c r="L536" s="88">
        <f>SUM(F536:K536)</f>
        <v>8471.32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4544.66</v>
      </c>
      <c r="I537" s="18"/>
      <c r="J537" s="18"/>
      <c r="K537" s="18"/>
      <c r="L537" s="88">
        <f>SUM(F537:K537)</f>
        <v>4544.66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9294.58</v>
      </c>
      <c r="I538" s="18"/>
      <c r="J538" s="18"/>
      <c r="K538" s="18"/>
      <c r="L538" s="88">
        <f>SUM(F538:K538)</f>
        <v>9294.58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22310.559999999998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22310.559999999998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108230.87</v>
      </c>
      <c r="I541" s="18"/>
      <c r="J541" s="18"/>
      <c r="K541" s="18"/>
      <c r="L541" s="88">
        <f>SUM(F541:K541)</f>
        <v>108230.87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76611.899999999994</v>
      </c>
      <c r="I542" s="18"/>
      <c r="J542" s="18"/>
      <c r="K542" s="18"/>
      <c r="L542" s="88">
        <f>SUM(F542:K542)</f>
        <v>76611.899999999994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56615.35</v>
      </c>
      <c r="I543" s="18"/>
      <c r="J543" s="18"/>
      <c r="K543" s="18"/>
      <c r="L543" s="88">
        <f>SUM(F543:K543)</f>
        <v>56615.35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241458.12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241458.12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3313233.4699999997</v>
      </c>
      <c r="G545" s="89">
        <f t="shared" ref="G545:L545" si="44">G524+G529+G534+G539+G544</f>
        <v>1746136.22</v>
      </c>
      <c r="H545" s="89">
        <f t="shared" si="44"/>
        <v>1605701.96</v>
      </c>
      <c r="I545" s="89">
        <f t="shared" si="44"/>
        <v>30943.870000000003</v>
      </c>
      <c r="J545" s="89">
        <f t="shared" si="44"/>
        <v>7692.35</v>
      </c>
      <c r="K545" s="89">
        <f t="shared" si="44"/>
        <v>2468.5</v>
      </c>
      <c r="L545" s="89">
        <f t="shared" si="44"/>
        <v>6706176.3699999992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2481533.5899999994</v>
      </c>
      <c r="G549" s="87">
        <f>L526</f>
        <v>733675.49</v>
      </c>
      <c r="H549" s="87">
        <f>L531</f>
        <v>100768.09</v>
      </c>
      <c r="I549" s="87">
        <f>L536</f>
        <v>8471.32</v>
      </c>
      <c r="J549" s="87">
        <f>L541</f>
        <v>108230.87</v>
      </c>
      <c r="K549" s="87">
        <f>SUM(F549:J549)</f>
        <v>3432679.3599999989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1120994.0200000003</v>
      </c>
      <c r="G550" s="87">
        <f>L527</f>
        <v>137331.06</v>
      </c>
      <c r="H550" s="87">
        <f>L532</f>
        <v>54059.69</v>
      </c>
      <c r="I550" s="87">
        <f>L537</f>
        <v>4544.66</v>
      </c>
      <c r="J550" s="87">
        <f>L542</f>
        <v>76611.899999999994</v>
      </c>
      <c r="K550" s="87">
        <f>SUM(F550:J550)</f>
        <v>1393541.33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1520564.41</v>
      </c>
      <c r="G551" s="87">
        <f>L528</f>
        <v>182920.41999999998</v>
      </c>
      <c r="H551" s="87">
        <f>L533</f>
        <v>110560.91999999998</v>
      </c>
      <c r="I551" s="87">
        <f>L538</f>
        <v>9294.58</v>
      </c>
      <c r="J551" s="87">
        <f>L543</f>
        <v>56615.35</v>
      </c>
      <c r="K551" s="87">
        <f>SUM(F551:J551)</f>
        <v>1879955.68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5">SUM(F549:F551)</f>
        <v>5123092.0199999996</v>
      </c>
      <c r="G552" s="89">
        <f t="shared" si="45"/>
        <v>1053926.97</v>
      </c>
      <c r="H552" s="89">
        <f t="shared" si="45"/>
        <v>265388.69999999995</v>
      </c>
      <c r="I552" s="89">
        <f t="shared" si="45"/>
        <v>22310.559999999998</v>
      </c>
      <c r="J552" s="89">
        <f t="shared" si="45"/>
        <v>241458.12</v>
      </c>
      <c r="K552" s="89">
        <f t="shared" si="45"/>
        <v>6706176.3699999992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19675.29</v>
      </c>
      <c r="G562" s="18">
        <v>8322.94</v>
      </c>
      <c r="H562" s="18"/>
      <c r="I562" s="18">
        <v>500</v>
      </c>
      <c r="J562" s="18"/>
      <c r="K562" s="18"/>
      <c r="L562" s="88">
        <f>SUM(F562:K562)</f>
        <v>28498.230000000003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10555.33</v>
      </c>
      <c r="G563" s="18">
        <v>4465.0600000000004</v>
      </c>
      <c r="H563" s="18"/>
      <c r="I563" s="18">
        <v>250</v>
      </c>
      <c r="J563" s="18"/>
      <c r="K563" s="18"/>
      <c r="L563" s="88">
        <f>SUM(F563:K563)</f>
        <v>15270.39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21587.38</v>
      </c>
      <c r="G564" s="18">
        <v>9131.77</v>
      </c>
      <c r="H564" s="18"/>
      <c r="I564" s="18">
        <v>278</v>
      </c>
      <c r="J564" s="18"/>
      <c r="K564" s="18"/>
      <c r="L564" s="88">
        <f>SUM(F564:K564)</f>
        <v>30997.15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7">SUM(F562:F564)</f>
        <v>51818</v>
      </c>
      <c r="G565" s="89">
        <f t="shared" si="47"/>
        <v>21919.77</v>
      </c>
      <c r="H565" s="89">
        <f t="shared" si="47"/>
        <v>0</v>
      </c>
      <c r="I565" s="89">
        <f t="shared" si="47"/>
        <v>1028</v>
      </c>
      <c r="J565" s="89">
        <f t="shared" si="47"/>
        <v>0</v>
      </c>
      <c r="K565" s="89">
        <f t="shared" si="47"/>
        <v>0</v>
      </c>
      <c r="L565" s="89">
        <f t="shared" si="47"/>
        <v>74765.77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115795</v>
      </c>
      <c r="G567" s="18">
        <v>68186.899999999994</v>
      </c>
      <c r="H567" s="18">
        <v>9350</v>
      </c>
      <c r="I567" s="18">
        <v>1340.95</v>
      </c>
      <c r="J567" s="18"/>
      <c r="K567" s="18"/>
      <c r="L567" s="88">
        <f>SUM(F567:K567)</f>
        <v>194672.85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>
        <v>64.87</v>
      </c>
      <c r="J568" s="18"/>
      <c r="K568" s="18"/>
      <c r="L568" s="88">
        <f>SUM(F568:K568)</f>
        <v>64.87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115795</v>
      </c>
      <c r="G570" s="193">
        <f t="shared" ref="G570:L570" si="48">SUM(G567:G569)</f>
        <v>68186.899999999994</v>
      </c>
      <c r="H570" s="193">
        <f t="shared" si="48"/>
        <v>9350</v>
      </c>
      <c r="I570" s="193">
        <f t="shared" si="48"/>
        <v>1405.8200000000002</v>
      </c>
      <c r="J570" s="193">
        <f t="shared" si="48"/>
        <v>0</v>
      </c>
      <c r="K570" s="193">
        <f t="shared" si="48"/>
        <v>0</v>
      </c>
      <c r="L570" s="193">
        <f t="shared" si="48"/>
        <v>194737.72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167613</v>
      </c>
      <c r="G571" s="89">
        <f t="shared" ref="G571:L571" si="49">G560+G565+G570</f>
        <v>90106.67</v>
      </c>
      <c r="H571" s="89">
        <f t="shared" si="49"/>
        <v>9350</v>
      </c>
      <c r="I571" s="89">
        <f t="shared" si="49"/>
        <v>2433.8200000000002</v>
      </c>
      <c r="J571" s="89">
        <f t="shared" si="49"/>
        <v>0</v>
      </c>
      <c r="K571" s="89">
        <f t="shared" si="49"/>
        <v>0</v>
      </c>
      <c r="L571" s="89">
        <f t="shared" si="49"/>
        <v>269503.49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3595</v>
      </c>
      <c r="I575" s="87">
        <f>SUM(F575:H575)</f>
        <v>3595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12984</v>
      </c>
      <c r="I576" s="87">
        <f t="shared" ref="I576:I587" si="50">SUM(F576:H576)</f>
        <v>12984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50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50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54990</v>
      </c>
      <c r="I579" s="87">
        <f t="shared" si="50"/>
        <v>54990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f>65543.52+152883.87+8561.52+31724.16</f>
        <v>258713.07</v>
      </c>
      <c r="G580" s="18">
        <f>91358.6+11628</f>
        <v>102986.6</v>
      </c>
      <c r="H580" s="18">
        <f>20316+22149.9</f>
        <v>42465.9</v>
      </c>
      <c r="I580" s="87">
        <f t="shared" si="50"/>
        <v>404165.57000000007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50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50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50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174708</v>
      </c>
      <c r="I584" s="87">
        <f t="shared" si="50"/>
        <v>174708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50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50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>
        <f>45125.6+15468.8</f>
        <v>60594.399999999994</v>
      </c>
      <c r="H587" s="18">
        <f>164279.92+15657.12</f>
        <v>179937.04</v>
      </c>
      <c r="I587" s="87">
        <f t="shared" si="50"/>
        <v>240531.44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340029.41-9693.74</f>
        <v>330335.67</v>
      </c>
      <c r="I591" s="18">
        <f>185359.79-5200.46</f>
        <v>180159.33000000002</v>
      </c>
      <c r="J591" s="18">
        <f>369723.9-10635.8</f>
        <v>359088.10000000003</v>
      </c>
      <c r="K591" s="104">
        <f t="shared" ref="K591:K597" si="51">SUM(H591:J591)</f>
        <v>869583.10000000009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108230.87</v>
      </c>
      <c r="I592" s="18">
        <v>76611.899999999994</v>
      </c>
      <c r="J592" s="18">
        <v>56615.35</v>
      </c>
      <c r="K592" s="104">
        <f t="shared" si="51"/>
        <v>241458.12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25530</v>
      </c>
      <c r="K593" s="104">
        <f t="shared" si="51"/>
        <v>25530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20000</v>
      </c>
      <c r="J594" s="18">
        <f>74888.79</f>
        <v>74888.789999999994</v>
      </c>
      <c r="K594" s="104">
        <f t="shared" si="51"/>
        <v>94888.79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>
        <f>7097+2023</f>
        <v>9120</v>
      </c>
      <c r="J595" s="18">
        <f>10172.26+600</f>
        <v>10772.26</v>
      </c>
      <c r="K595" s="104">
        <f t="shared" si="51"/>
        <v>19892.260000000002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1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438566.54</v>
      </c>
      <c r="I598" s="108">
        <f>SUM(I591:I597)</f>
        <v>285891.23</v>
      </c>
      <c r="J598" s="108">
        <f>SUM(J591:J597)</f>
        <v>526894.5</v>
      </c>
      <c r="K598" s="108">
        <f>SUM(K591:K597)</f>
        <v>1251352.2700000003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102913.32+50220.74</f>
        <v>153134.06</v>
      </c>
      <c r="I604" s="18">
        <f>61999.2+42812.12</f>
        <v>104811.32</v>
      </c>
      <c r="J604" s="18">
        <f>208248.29-8251.49</f>
        <v>199996.80000000002</v>
      </c>
      <c r="K604" s="104">
        <f>SUM(H604:J604)</f>
        <v>457942.18000000005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153134.06</v>
      </c>
      <c r="I605" s="108">
        <f>SUM(I602:I604)</f>
        <v>104811.32</v>
      </c>
      <c r="J605" s="108">
        <f>SUM(J602:J604)</f>
        <v>199996.80000000002</v>
      </c>
      <c r="K605" s="108">
        <f>SUM(K602:K604)</f>
        <v>457942.18000000005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16514.580000000002</v>
      </c>
      <c r="G611" s="18">
        <v>3623.01</v>
      </c>
      <c r="H611" s="18">
        <f>1034.68+40285.68</f>
        <v>41320.36</v>
      </c>
      <c r="I611" s="18"/>
      <c r="J611" s="18"/>
      <c r="K611" s="18"/>
      <c r="L611" s="88">
        <f>SUM(F611:K611)</f>
        <v>61457.950000000004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8859.68</v>
      </c>
      <c r="G612" s="18">
        <v>1943.66</v>
      </c>
      <c r="H612" s="18">
        <f>3566.12+27096.8</f>
        <v>30662.92</v>
      </c>
      <c r="I612" s="18"/>
      <c r="J612" s="18"/>
      <c r="K612" s="18"/>
      <c r="L612" s="88">
        <f>SUM(F612:K612)</f>
        <v>41466.259999999995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18119.490000000002</v>
      </c>
      <c r="G613" s="18">
        <v>3975.1</v>
      </c>
      <c r="H613" s="18">
        <f>1135.24+37807.02</f>
        <v>38942.259999999995</v>
      </c>
      <c r="I613" s="18"/>
      <c r="J613" s="18"/>
      <c r="K613" s="18"/>
      <c r="L613" s="88">
        <f>SUM(F613:K613)</f>
        <v>61036.849999999991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2">SUM(F611:F613)</f>
        <v>43493.75</v>
      </c>
      <c r="G614" s="108">
        <f t="shared" si="52"/>
        <v>9541.77</v>
      </c>
      <c r="H614" s="108">
        <f t="shared" si="52"/>
        <v>110925.54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163961.06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2721725.6099999994</v>
      </c>
      <c r="H617" s="109">
        <f>SUM(F52)</f>
        <v>2721725.6100000003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62263.43</v>
      </c>
      <c r="H618" s="109">
        <f>SUM(G52)</f>
        <v>62263.429999999993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413194.33</v>
      </c>
      <c r="H619" s="109">
        <f>SUM(H52)</f>
        <v>413194.33000000013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383267.07</v>
      </c>
      <c r="H621" s="109">
        <f>SUM(J52)</f>
        <v>383267.07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1549624.8200000003</v>
      </c>
      <c r="H622" s="109">
        <f>F476</f>
        <v>1549624.820000004</v>
      </c>
      <c r="I622" s="121" t="s">
        <v>101</v>
      </c>
      <c r="J622" s="109">
        <f t="shared" ref="J622:J655" si="53">G622-H622</f>
        <v>-3.7252902984619141E-9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50713.81</v>
      </c>
      <c r="H623" s="109">
        <f>G476</f>
        <v>50713.810000000172</v>
      </c>
      <c r="I623" s="121" t="s">
        <v>102</v>
      </c>
      <c r="J623" s="109">
        <f t="shared" si="53"/>
        <v>-1.7462298274040222E-10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301270.89000000013</v>
      </c>
      <c r="H624" s="109">
        <f>H476</f>
        <v>301270.89000000013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383267.07</v>
      </c>
      <c r="H626" s="109">
        <f>J476</f>
        <v>383267.07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31929574.090000004</v>
      </c>
      <c r="H627" s="104">
        <f>SUM(F468)</f>
        <v>31929574.090000004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565477.18000000005</v>
      </c>
      <c r="H628" s="104">
        <f>SUM(G468)</f>
        <v>565477.18000000005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1110921.6000000001</v>
      </c>
      <c r="H629" s="104">
        <f>SUM(H468)</f>
        <v>1110921.6000000001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155567.87</v>
      </c>
      <c r="H631" s="104">
        <f>SUM(J468)</f>
        <v>155567.87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32395751.029999997</v>
      </c>
      <c r="H632" s="104">
        <f>SUM(F472)</f>
        <v>32395751.029999997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1135350.05</v>
      </c>
      <c r="H633" s="104">
        <f>SUM(H472)</f>
        <v>1135350.05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2584.35</v>
      </c>
      <c r="H634" s="104">
        <f>I369</f>
        <v>2584.35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538608.6399999999</v>
      </c>
      <c r="H635" s="104">
        <f>SUM(G472)</f>
        <v>538608.6399999999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155567.87</v>
      </c>
      <c r="H637" s="164">
        <f>SUM(J468)</f>
        <v>155567.87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154172.22</v>
      </c>
      <c r="H639" s="104">
        <f>SUM(F461)</f>
        <v>154172.22</v>
      </c>
      <c r="I639" s="140" t="s">
        <v>856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229094.85</v>
      </c>
      <c r="H640" s="104">
        <f>SUM(G461)</f>
        <v>229094.85</v>
      </c>
      <c r="I640" s="140" t="s">
        <v>857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383267.07</v>
      </c>
      <c r="H642" s="104">
        <f>SUM(I461)</f>
        <v>383267.07</v>
      </c>
      <c r="I642" s="140" t="s">
        <v>859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1906.91</v>
      </c>
      <c r="H644" s="104">
        <f>H408</f>
        <v>1906.91</v>
      </c>
      <c r="I644" s="140" t="s">
        <v>480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153660.96</v>
      </c>
      <c r="H645" s="104">
        <f>G408</f>
        <v>153660.96</v>
      </c>
      <c r="I645" s="140" t="s">
        <v>481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155567.87</v>
      </c>
      <c r="H646" s="104">
        <f>L408</f>
        <v>155567.87</v>
      </c>
      <c r="I646" s="140" t="s">
        <v>477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1251352.2700000003</v>
      </c>
      <c r="H647" s="104">
        <f>L208+L226+L244</f>
        <v>1251352.27</v>
      </c>
      <c r="I647" s="140" t="s">
        <v>396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457942.18000000005</v>
      </c>
      <c r="H648" s="104">
        <f>(J257+J338)-(J255+J336)</f>
        <v>457942.17999999993</v>
      </c>
      <c r="I648" s="140" t="s">
        <v>702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438566.54000000004</v>
      </c>
      <c r="H649" s="104">
        <f>H598</f>
        <v>438566.54</v>
      </c>
      <c r="I649" s="140" t="s">
        <v>388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285891.23</v>
      </c>
      <c r="H650" s="104">
        <f>I598</f>
        <v>285891.23</v>
      </c>
      <c r="I650" s="140" t="s">
        <v>389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526894.5</v>
      </c>
      <c r="H651" s="104">
        <f>J598</f>
        <v>526894.5</v>
      </c>
      <c r="I651" s="140" t="s">
        <v>390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38748.5</v>
      </c>
      <c r="H652" s="104">
        <f>K263+K345</f>
        <v>38748.5</v>
      </c>
      <c r="I652" s="140" t="s">
        <v>397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153660.96</v>
      </c>
      <c r="H655" s="104">
        <f>K266+K347</f>
        <v>153660.96</v>
      </c>
      <c r="I655" s="140" t="s">
        <v>400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12808254.459999997</v>
      </c>
      <c r="G660" s="19">
        <f>(L229+L309+L359)</f>
        <v>6856387.9300000016</v>
      </c>
      <c r="H660" s="19">
        <f>(L247+L328+L360)</f>
        <v>11514608.619999999</v>
      </c>
      <c r="I660" s="19">
        <f>SUM(F660:H660)</f>
        <v>31179251.009999998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143688.61495345342</v>
      </c>
      <c r="G661" s="19">
        <f>(L359/IF(SUM(L358:L360)=0,1,SUM(L358:L360))*(SUM(G97:G110)))</f>
        <v>86969.428165728285</v>
      </c>
      <c r="H661" s="19">
        <f>(L360/IF(SUM(L358:L360)=0,1,SUM(L358:L360))*(SUM(G97:G110)))</f>
        <v>147469.89688081836</v>
      </c>
      <c r="I661" s="19">
        <f>SUM(F661:H661)</f>
        <v>378127.94000000006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438566.54000000004</v>
      </c>
      <c r="G662" s="19">
        <f>(L226+L306)-(J226+J306)</f>
        <v>285891.23</v>
      </c>
      <c r="H662" s="19">
        <f>(L244+L325)-(J244+J325)</f>
        <v>526894.5</v>
      </c>
      <c r="I662" s="19">
        <f>SUM(F662:H662)</f>
        <v>1251352.27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473305.08</v>
      </c>
      <c r="G663" s="199">
        <f>SUM(G575:G587)+SUM(I602:I604)+L612</f>
        <v>309858.58</v>
      </c>
      <c r="H663" s="199">
        <f>SUM(H575:H587)+SUM(J602:J604)+L613</f>
        <v>729713.59000000008</v>
      </c>
      <c r="I663" s="19">
        <f>SUM(F663:H663)</f>
        <v>1512877.25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11752694.225046543</v>
      </c>
      <c r="G664" s="19">
        <f>G660-SUM(G661:G663)</f>
        <v>6173668.6918342728</v>
      </c>
      <c r="H664" s="19">
        <f>H660-SUM(H661:H663)</f>
        <v>10110530.633119181</v>
      </c>
      <c r="I664" s="19">
        <f>I660-SUM(I661:I663)</f>
        <v>28036893.549999997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610.86</v>
      </c>
      <c r="G665" s="248">
        <v>363.3</v>
      </c>
      <c r="H665" s="248">
        <v>645.28</v>
      </c>
      <c r="I665" s="19">
        <f>SUM(F665:H665)</f>
        <v>1619.44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19239.59</v>
      </c>
      <c r="G667" s="19">
        <f>ROUND(G664/G665,2)</f>
        <v>16993.310000000001</v>
      </c>
      <c r="H667" s="19">
        <f>ROUND(H664/H665,2)</f>
        <v>15668.44</v>
      </c>
      <c r="I667" s="19">
        <f>ROUND(I664/I665,2)</f>
        <v>17312.71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-31.28</v>
      </c>
      <c r="I670" s="19">
        <f>SUM(F670:H670)</f>
        <v>-31.28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19239.59</v>
      </c>
      <c r="G672" s="19">
        <f>ROUND((G664+G669)/(G665+G670),2)</f>
        <v>16993.310000000001</v>
      </c>
      <c r="H672" s="19">
        <f>ROUND((H664+H669)/(H665+H670),2)</f>
        <v>16466.66</v>
      </c>
      <c r="I672" s="19">
        <f>ROUND((I664+I669)/(I665+I670),2)</f>
        <v>17653.7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J38" sqref="J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Sanborn Regional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80" t="s">
        <v>783</v>
      </c>
      <c r="B3" s="280"/>
      <c r="C3" s="280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782</v>
      </c>
      <c r="C6" s="279"/>
    </row>
    <row r="7" spans="1:3" x14ac:dyDescent="0.2">
      <c r="A7" s="239" t="s">
        <v>785</v>
      </c>
      <c r="B7" s="277" t="s">
        <v>781</v>
      </c>
      <c r="C7" s="278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8064077.9400000004</v>
      </c>
      <c r="C9" s="229">
        <f>'DOE25'!G197+'DOE25'!G215+'DOE25'!G233+'DOE25'!G276+'DOE25'!G295+'DOE25'!G314</f>
        <v>3975776.24</v>
      </c>
    </row>
    <row r="10" spans="1:3" x14ac:dyDescent="0.2">
      <c r="A10" t="s">
        <v>778</v>
      </c>
      <c r="B10" s="240">
        <v>6961476.8899999997</v>
      </c>
      <c r="C10" s="240">
        <v>3432287.63</v>
      </c>
    </row>
    <row r="11" spans="1:3" x14ac:dyDescent="0.2">
      <c r="A11" t="s">
        <v>779</v>
      </c>
      <c r="B11" s="240">
        <v>443810.47</v>
      </c>
      <c r="C11" s="240">
        <v>218667.69</v>
      </c>
    </row>
    <row r="12" spans="1:3" x14ac:dyDescent="0.2">
      <c r="A12" t="s">
        <v>780</v>
      </c>
      <c r="B12" s="240">
        <v>658790.57999999996</v>
      </c>
      <c r="C12" s="240">
        <v>324820.92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8064077.9399999995</v>
      </c>
      <c r="C13" s="231">
        <f>SUM(C10:C12)</f>
        <v>3975776.2399999998</v>
      </c>
    </row>
    <row r="14" spans="1:3" x14ac:dyDescent="0.2">
      <c r="B14" s="230"/>
      <c r="C14" s="230"/>
    </row>
    <row r="15" spans="1:3" x14ac:dyDescent="0.2">
      <c r="B15" s="279" t="s">
        <v>782</v>
      </c>
      <c r="C15" s="279"/>
    </row>
    <row r="16" spans="1:3" x14ac:dyDescent="0.2">
      <c r="A16" s="239" t="s">
        <v>786</v>
      </c>
      <c r="B16" s="277" t="s">
        <v>706</v>
      </c>
      <c r="C16" s="278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2900272.7600000002</v>
      </c>
      <c r="C18" s="229">
        <f>'DOE25'!G198+'DOE25'!G216+'DOE25'!G234+'DOE25'!G277+'DOE25'!G296+'DOE25'!G315</f>
        <v>1538561.21</v>
      </c>
    </row>
    <row r="19" spans="1:3" x14ac:dyDescent="0.2">
      <c r="A19" t="s">
        <v>778</v>
      </c>
      <c r="B19" s="240">
        <v>1724208.67</v>
      </c>
      <c r="C19" s="240">
        <v>914674.64</v>
      </c>
    </row>
    <row r="20" spans="1:3" x14ac:dyDescent="0.2">
      <c r="A20" t="s">
        <v>779</v>
      </c>
      <c r="B20" s="240">
        <v>1040199.13</v>
      </c>
      <c r="C20" s="240">
        <v>551881.91</v>
      </c>
    </row>
    <row r="21" spans="1:3" x14ac:dyDescent="0.2">
      <c r="A21" t="s">
        <v>780</v>
      </c>
      <c r="B21" s="240">
        <v>135864.95999999999</v>
      </c>
      <c r="C21" s="240">
        <v>72004.66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2900272.76</v>
      </c>
      <c r="C22" s="231">
        <f>SUM(C19:C21)</f>
        <v>1538561.21</v>
      </c>
    </row>
    <row r="23" spans="1:3" x14ac:dyDescent="0.2">
      <c r="B23" s="230"/>
      <c r="C23" s="230"/>
    </row>
    <row r="24" spans="1:3" x14ac:dyDescent="0.2">
      <c r="B24" s="279" t="s">
        <v>782</v>
      </c>
      <c r="C24" s="279"/>
    </row>
    <row r="25" spans="1:3" x14ac:dyDescent="0.2">
      <c r="A25" s="239" t="s">
        <v>787</v>
      </c>
      <c r="B25" s="277" t="s">
        <v>707</v>
      </c>
      <c r="C25" s="278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782</v>
      </c>
      <c r="C33" s="279"/>
    </row>
    <row r="34" spans="1:3" x14ac:dyDescent="0.2">
      <c r="A34" s="239" t="s">
        <v>788</v>
      </c>
      <c r="B34" s="277" t="s">
        <v>708</v>
      </c>
      <c r="C34" s="278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321186.2</v>
      </c>
      <c r="C36" s="235">
        <f>'DOE25'!G200+'DOE25'!G218+'DOE25'!G236+'DOE25'!G279+'DOE25'!G298+'DOE25'!G317</f>
        <v>86554.36</v>
      </c>
    </row>
    <row r="37" spans="1:3" x14ac:dyDescent="0.2">
      <c r="A37" t="s">
        <v>778</v>
      </c>
      <c r="B37" s="240">
        <v>15884.68</v>
      </c>
      <c r="C37" s="240">
        <v>4284.4399999999996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305301.52</v>
      </c>
      <c r="C39" s="240">
        <v>82269.919999999998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321186.2</v>
      </c>
      <c r="C40" s="231">
        <f>SUM(C37:C39)</f>
        <v>86554.36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8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789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716</v>
      </c>
      <c r="B2" s="265" t="str">
        <f>'DOE25'!A2</f>
        <v>Sanborn Regional School District</v>
      </c>
      <c r="C2" s="181"/>
      <c r="D2" s="181" t="s">
        <v>791</v>
      </c>
      <c r="E2" s="181" t="s">
        <v>793</v>
      </c>
      <c r="F2" s="281" t="s">
        <v>820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18480607.359999999</v>
      </c>
      <c r="D5" s="20">
        <f>SUM('DOE25'!L197:L200)+SUM('DOE25'!L215:L218)+SUM('DOE25'!L233:L236)-F5-G5</f>
        <v>18072609.329999998</v>
      </c>
      <c r="E5" s="243"/>
      <c r="F5" s="255">
        <f>SUM('DOE25'!J197:J200)+SUM('DOE25'!J215:J218)+SUM('DOE25'!J233:J236)</f>
        <v>332883.42</v>
      </c>
      <c r="G5" s="53">
        <f>SUM('DOE25'!K197:K200)+SUM('DOE25'!K215:K218)+SUM('DOE25'!K233:K236)</f>
        <v>75114.61</v>
      </c>
      <c r="H5" s="259"/>
    </row>
    <row r="6" spans="1:9" x14ac:dyDescent="0.2">
      <c r="A6" s="32">
        <v>2100</v>
      </c>
      <c r="B6" t="s">
        <v>800</v>
      </c>
      <c r="C6" s="245">
        <f t="shared" si="0"/>
        <v>2386705.4900000002</v>
      </c>
      <c r="D6" s="20">
        <f>'DOE25'!L202+'DOE25'!L220+'DOE25'!L238-F6-G6</f>
        <v>2384025.12</v>
      </c>
      <c r="E6" s="243"/>
      <c r="F6" s="255">
        <f>'DOE25'!J202+'DOE25'!J220+'DOE25'!J238</f>
        <v>1926.37</v>
      </c>
      <c r="G6" s="53">
        <f>'DOE25'!K202+'DOE25'!K220+'DOE25'!K238</f>
        <v>754</v>
      </c>
      <c r="H6" s="259"/>
    </row>
    <row r="7" spans="1:9" x14ac:dyDescent="0.2">
      <c r="A7" s="32">
        <v>2200</v>
      </c>
      <c r="B7" t="s">
        <v>833</v>
      </c>
      <c r="C7" s="245">
        <f t="shared" si="0"/>
        <v>500468.58999999997</v>
      </c>
      <c r="D7" s="20">
        <f>'DOE25'!L203+'DOE25'!L221+'DOE25'!L239-F7-G7</f>
        <v>496938.33999999997</v>
      </c>
      <c r="E7" s="243"/>
      <c r="F7" s="255">
        <f>'DOE25'!J203+'DOE25'!J221+'DOE25'!J239</f>
        <v>3530.25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500024.89999999991</v>
      </c>
      <c r="D8" s="243"/>
      <c r="E8" s="20">
        <f>'DOE25'!L204+'DOE25'!L222+'DOE25'!L240-F8-G8-D9-D11</f>
        <v>464741.1399999999</v>
      </c>
      <c r="F8" s="255">
        <f>'DOE25'!J204+'DOE25'!J222+'DOE25'!J240</f>
        <v>9295.619999999999</v>
      </c>
      <c r="G8" s="53">
        <f>'DOE25'!K204+'DOE25'!K222+'DOE25'!K240</f>
        <v>25988.14</v>
      </c>
      <c r="H8" s="259"/>
    </row>
    <row r="9" spans="1:9" x14ac:dyDescent="0.2">
      <c r="A9" s="32">
        <v>2310</v>
      </c>
      <c r="B9" t="s">
        <v>817</v>
      </c>
      <c r="C9" s="245">
        <f t="shared" si="0"/>
        <v>44036.509999999995</v>
      </c>
      <c r="D9" s="244">
        <f>40200.1+3836.41</f>
        <v>44036.509999999995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13350</v>
      </c>
      <c r="D10" s="243"/>
      <c r="E10" s="244">
        <v>13350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297968.5</v>
      </c>
      <c r="D11" s="244">
        <v>297968.5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1888647.37</v>
      </c>
      <c r="D12" s="20">
        <f>'DOE25'!L205+'DOE25'!L223+'DOE25'!L241-F12-G12</f>
        <v>1863112.4800000002</v>
      </c>
      <c r="E12" s="243"/>
      <c r="F12" s="255">
        <f>'DOE25'!J205+'DOE25'!J223+'DOE25'!J241</f>
        <v>0</v>
      </c>
      <c r="G12" s="53">
        <f>'DOE25'!K205+'DOE25'!K223+'DOE25'!K241</f>
        <v>25534.89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322940.98999999993</v>
      </c>
      <c r="D13" s="243"/>
      <c r="E13" s="20">
        <f>'DOE25'!L206+'DOE25'!L224+'DOE25'!L242-F13-G13</f>
        <v>319658.14999999991</v>
      </c>
      <c r="F13" s="255">
        <f>'DOE25'!J206+'DOE25'!J224+'DOE25'!J242</f>
        <v>889.00000000000011</v>
      </c>
      <c r="G13" s="53">
        <f>'DOE25'!K206+'DOE25'!K224+'DOE25'!K242</f>
        <v>2393.84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3106795.37</v>
      </c>
      <c r="D14" s="20">
        <f>'DOE25'!L207+'DOE25'!L225+'DOE25'!L243-F14-G14</f>
        <v>3058406.0500000003</v>
      </c>
      <c r="E14" s="243"/>
      <c r="F14" s="255">
        <f>'DOE25'!J207+'DOE25'!J225+'DOE25'!J243</f>
        <v>44177.52</v>
      </c>
      <c r="G14" s="53">
        <f>'DOE25'!K207+'DOE25'!K225+'DOE25'!K243</f>
        <v>4211.7999999999993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1251352.27</v>
      </c>
      <c r="D15" s="20">
        <f>'DOE25'!L208+'DOE25'!L226+'DOE25'!L244-F15-G15</f>
        <v>1251352.27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725744.97</v>
      </c>
      <c r="D16" s="243"/>
      <c r="E16" s="20">
        <f>'DOE25'!L209+'DOE25'!L227+'DOE25'!L245-F16-G16</f>
        <v>725744.97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422283.75</v>
      </c>
      <c r="D22" s="243"/>
      <c r="E22" s="243"/>
      <c r="F22" s="255">
        <f>'DOE25'!L255+'DOE25'!L336</f>
        <v>422283.75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2275765.5</v>
      </c>
      <c r="D25" s="243"/>
      <c r="E25" s="243"/>
      <c r="F25" s="258"/>
      <c r="G25" s="256"/>
      <c r="H25" s="257">
        <f>'DOE25'!L260+'DOE25'!L261+'DOE25'!L341+'DOE25'!L342</f>
        <v>2275765.5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538608.6399999999</v>
      </c>
      <c r="D29" s="20">
        <f>'DOE25'!L358+'DOE25'!L359+'DOE25'!L360-'DOE25'!I367-F29-G29</f>
        <v>538608.6399999999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1135350.05</v>
      </c>
      <c r="D31" s="20">
        <f>'DOE25'!L290+'DOE25'!L309+'DOE25'!L328+'DOE25'!L333+'DOE25'!L334+'DOE25'!L335-F31-G31</f>
        <v>1070110.05</v>
      </c>
      <c r="E31" s="243"/>
      <c r="F31" s="255">
        <f>'DOE25'!J290+'DOE25'!J309+'DOE25'!J328+'DOE25'!J333+'DOE25'!J334+'DOE25'!J335</f>
        <v>65240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29077167.290000003</v>
      </c>
      <c r="E33" s="246">
        <f>SUM(E5:E31)</f>
        <v>1523494.2599999998</v>
      </c>
      <c r="F33" s="246">
        <f>SUM(F5:F31)</f>
        <v>880225.92999999993</v>
      </c>
      <c r="G33" s="246">
        <f>SUM(G5:G31)</f>
        <v>133997.28</v>
      </c>
      <c r="H33" s="246">
        <f>SUM(H5:H31)</f>
        <v>2275765.5</v>
      </c>
    </row>
    <row r="35" spans="2:8" ht="12" thickBot="1" x14ac:dyDescent="0.25">
      <c r="B35" s="253" t="s">
        <v>846</v>
      </c>
      <c r="D35" s="254">
        <f>E33</f>
        <v>1523494.2599999998</v>
      </c>
      <c r="E35" s="249"/>
    </row>
    <row r="36" spans="2:8" ht="12" thickTop="1" x14ac:dyDescent="0.2">
      <c r="B36" t="s">
        <v>814</v>
      </c>
      <c r="D36" s="20">
        <f>D33</f>
        <v>29077167.290000003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05" activePane="bottomLeft" state="frozen"/>
      <selection activeCell="F46" sqref="F46"/>
      <selection pane="bottomLeft" activeCell="C189" sqref="C18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Sanborn Regional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2252403.7599999998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383267.07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52245.19</v>
      </c>
      <c r="E11" s="95">
        <f>'DOE25'!H12</f>
        <v>13886.25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10018.24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362139.17999999993</v>
      </c>
      <c r="D13" s="95">
        <f>'DOE25'!G14</f>
        <v>0</v>
      </c>
      <c r="E13" s="95">
        <f>'DOE25'!H14</f>
        <v>399308.08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107182.67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2721725.6099999994</v>
      </c>
      <c r="D18" s="41">
        <f>SUM(D8:D17)</f>
        <v>62263.43</v>
      </c>
      <c r="E18" s="41">
        <f>SUM(E8:E17)</f>
        <v>413194.33</v>
      </c>
      <c r="F18" s="41">
        <f>SUM(F8:F17)</f>
        <v>0</v>
      </c>
      <c r="G18" s="41">
        <f>SUM(G8:G17)</f>
        <v>383267.07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57974.720000000001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988084.47000000009</v>
      </c>
      <c r="D23" s="95">
        <f>'DOE25'!G24</f>
        <v>353.22</v>
      </c>
      <c r="E23" s="95">
        <f>'DOE25'!H24</f>
        <v>68465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60608.42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39069.01</v>
      </c>
      <c r="D29" s="95">
        <f>'DOE25'!G30</f>
        <v>11196.4</v>
      </c>
      <c r="E29" s="95">
        <f>'DOE25'!H30</f>
        <v>43458.44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26364.17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1172100.79</v>
      </c>
      <c r="D31" s="41">
        <f>SUM(D21:D30)</f>
        <v>11549.619999999999</v>
      </c>
      <c r="E31" s="41">
        <f>SUM(E21:E30)</f>
        <v>111923.44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107182.67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50713.81</v>
      </c>
      <c r="E42" s="95">
        <f>'DOE25'!H43</f>
        <v>296470.89000000013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383267.07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316807.89999999997</v>
      </c>
      <c r="D48" s="95">
        <f>'DOE25'!G49</f>
        <v>0</v>
      </c>
      <c r="E48" s="95">
        <f>'DOE25'!H49</f>
        <v>4800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1125634.2500000002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1549624.8200000003</v>
      </c>
      <c r="D50" s="41">
        <f>SUM(D34:D49)</f>
        <v>50713.81</v>
      </c>
      <c r="E50" s="41">
        <f>SUM(E34:E49)</f>
        <v>301270.89000000013</v>
      </c>
      <c r="F50" s="41">
        <f>SUM(F34:F49)</f>
        <v>0</v>
      </c>
      <c r="G50" s="41">
        <f>SUM(G34:G49)</f>
        <v>383267.07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2721725.6100000003</v>
      </c>
      <c r="D51" s="41">
        <f>D50+D31</f>
        <v>62263.429999999993</v>
      </c>
      <c r="E51" s="41">
        <f>E50+E31</f>
        <v>413194.33000000013</v>
      </c>
      <c r="F51" s="41">
        <f>F50+F31</f>
        <v>0</v>
      </c>
      <c r="G51" s="41">
        <f>G50+G31</f>
        <v>383267.07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20895575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3759290.49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17718.87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1906.91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378127.94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97899.38</v>
      </c>
      <c r="D61" s="95">
        <f>SUM('DOE25'!G98:G110)</f>
        <v>0</v>
      </c>
      <c r="E61" s="95">
        <f>SUM('DOE25'!H98:H110)</f>
        <v>168286.58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3874908.74</v>
      </c>
      <c r="D62" s="130">
        <f>SUM(D57:D61)</f>
        <v>378127.94</v>
      </c>
      <c r="E62" s="130">
        <f>SUM(E57:E61)</f>
        <v>168286.58</v>
      </c>
      <c r="F62" s="130">
        <f>SUM(F57:F61)</f>
        <v>0</v>
      </c>
      <c r="G62" s="130">
        <f>SUM(G57:G61)</f>
        <v>1906.91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24770483.740000002</v>
      </c>
      <c r="D63" s="22">
        <f>D56+D62</f>
        <v>378127.94</v>
      </c>
      <c r="E63" s="22">
        <f>E56+E62</f>
        <v>168286.58</v>
      </c>
      <c r="F63" s="22">
        <f>F56+F62</f>
        <v>0</v>
      </c>
      <c r="G63" s="22">
        <f>G56+G62</f>
        <v>1906.91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3511929.79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2637137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6149066.79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616322.35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245216.46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28249.200000000001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7099.26</v>
      </c>
      <c r="E77" s="95">
        <f>SUM('DOE25'!H131:H135)</f>
        <v>74431.010000000009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889788.00999999989</v>
      </c>
      <c r="D78" s="130">
        <f>SUM(D72:D77)</f>
        <v>7099.26</v>
      </c>
      <c r="E78" s="130">
        <f>SUM(E72:E77)</f>
        <v>74431.010000000009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7038854.7999999998</v>
      </c>
      <c r="D81" s="130">
        <f>SUM(D79:D80)+D78+D70</f>
        <v>7099.26</v>
      </c>
      <c r="E81" s="130">
        <f>SUM(E79:E80)+E78+E70</f>
        <v>74431.010000000009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120235.55</v>
      </c>
      <c r="D88" s="95">
        <f>SUM('DOE25'!G153:G161)</f>
        <v>141501.48000000001</v>
      </c>
      <c r="E88" s="95">
        <f>SUM('DOE25'!H153:H161)</f>
        <v>868204.01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120235.55</v>
      </c>
      <c r="D91" s="131">
        <f>SUM(D85:D90)</f>
        <v>141501.48000000001</v>
      </c>
      <c r="E91" s="131">
        <f>SUM(E85:E90)</f>
        <v>868204.01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38748.5</v>
      </c>
      <c r="E96" s="95">
        <f>'DOE25'!H179</f>
        <v>0</v>
      </c>
      <c r="F96" s="95">
        <f>'DOE25'!I179</f>
        <v>0</v>
      </c>
      <c r="G96" s="95">
        <f>'DOE25'!J179</f>
        <v>153660.96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38748.5</v>
      </c>
      <c r="E103" s="86">
        <f>SUM(E93:E102)</f>
        <v>0</v>
      </c>
      <c r="F103" s="86">
        <f>SUM(F93:F102)</f>
        <v>0</v>
      </c>
      <c r="G103" s="86">
        <f>SUM(G93:G102)</f>
        <v>153660.96</v>
      </c>
    </row>
    <row r="104" spans="1:7" ht="12.75" thickTop="1" thickBot="1" x14ac:dyDescent="0.25">
      <c r="A104" s="33" t="s">
        <v>764</v>
      </c>
      <c r="C104" s="86">
        <f>C63+C81+C91+C103</f>
        <v>31929574.090000004</v>
      </c>
      <c r="D104" s="86">
        <f>D63+D81+D91+D103</f>
        <v>565477.18000000005</v>
      </c>
      <c r="E104" s="86">
        <f>E63+E81+E91+E103</f>
        <v>1110921.6000000001</v>
      </c>
      <c r="F104" s="86">
        <f>F63+F81+F91+F103</f>
        <v>0</v>
      </c>
      <c r="G104" s="86">
        <f>G63+G81+G103</f>
        <v>155567.87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12797085.359999999</v>
      </c>
      <c r="D109" s="24" t="s">
        <v>288</v>
      </c>
      <c r="E109" s="95">
        <f>('DOE25'!L276)+('DOE25'!L295)+('DOE25'!L314)</f>
        <v>335284.89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4963499.33</v>
      </c>
      <c r="D110" s="24" t="s">
        <v>288</v>
      </c>
      <c r="E110" s="95">
        <f>('DOE25'!L277)+('DOE25'!L296)+('DOE25'!L315)</f>
        <v>429096.18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174708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545314.67000000004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18480607.359999999</v>
      </c>
      <c r="D115" s="86">
        <f>SUM(D109:D114)</f>
        <v>0</v>
      </c>
      <c r="E115" s="86">
        <f>SUM(E109:E114)</f>
        <v>764381.07000000007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2386705.4900000002</v>
      </c>
      <c r="D118" s="24" t="s">
        <v>288</v>
      </c>
      <c r="E118" s="95">
        <f>+('DOE25'!L281)+('DOE25'!L300)+('DOE25'!L319)</f>
        <v>13564.43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500468.58999999997</v>
      </c>
      <c r="D119" s="24" t="s">
        <v>288</v>
      </c>
      <c r="E119" s="95">
        <f>+('DOE25'!L282)+('DOE25'!L301)+('DOE25'!L320)</f>
        <v>353404.54999999993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842029.90999999992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1888647.37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322940.98999999993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3106795.37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1251352.27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725744.97</v>
      </c>
      <c r="D125" s="24" t="s">
        <v>288</v>
      </c>
      <c r="E125" s="95">
        <f>+('DOE25'!L288)+('DOE25'!L307)+('DOE25'!L326)</f>
        <v>4000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538608.6399999999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11024684.960000001</v>
      </c>
      <c r="D128" s="86">
        <f>SUM(D118:D127)</f>
        <v>538608.6399999999</v>
      </c>
      <c r="E128" s="86">
        <f>SUM(E118:E127)</f>
        <v>370968.97999999992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422283.75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1286752.19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989013.31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38748.5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155567.87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-1906.9100000000035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2890458.71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32395751.030000001</v>
      </c>
      <c r="D145" s="86">
        <f>(D115+D128+D144)</f>
        <v>538608.6399999999</v>
      </c>
      <c r="E145" s="86">
        <f>(E115+E128+E144)</f>
        <v>1135350.05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29770200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16170395.24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16170395.24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1286752.19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1286752.19</v>
      </c>
    </row>
    <row r="159" spans="1:9" x14ac:dyDescent="0.2">
      <c r="A159" s="22" t="s">
        <v>35</v>
      </c>
      <c r="B159" s="137">
        <f>'DOE25'!F498</f>
        <v>14883643.050000001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14883643.050000001</v>
      </c>
    </row>
    <row r="160" spans="1:9" x14ac:dyDescent="0.2">
      <c r="A160" s="22" t="s">
        <v>36</v>
      </c>
      <c r="B160" s="137">
        <f>'DOE25'!F499</f>
        <v>10115275.209999999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10115275.209999999</v>
      </c>
    </row>
    <row r="161" spans="1:7" x14ac:dyDescent="0.2">
      <c r="A161" s="22" t="s">
        <v>37</v>
      </c>
      <c r="B161" s="137">
        <f>'DOE25'!F500</f>
        <v>24998918.259999998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24998918.259999998</v>
      </c>
    </row>
    <row r="162" spans="1:7" x14ac:dyDescent="0.2">
      <c r="A162" s="22" t="s">
        <v>38</v>
      </c>
      <c r="B162" s="137">
        <f>'DOE25'!F501</f>
        <v>1168167.94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1168167.94</v>
      </c>
    </row>
    <row r="163" spans="1:7" x14ac:dyDescent="0.2">
      <c r="A163" s="22" t="s">
        <v>39</v>
      </c>
      <c r="B163" s="137">
        <f>'DOE25'!F502</f>
        <v>1139217.56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1139217.56</v>
      </c>
    </row>
    <row r="164" spans="1:7" x14ac:dyDescent="0.2">
      <c r="A164" s="22" t="s">
        <v>246</v>
      </c>
      <c r="B164" s="137">
        <f>'DOE25'!F503</f>
        <v>2307385.5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2307385.5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I53" sqref="I5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739</v>
      </c>
      <c r="B1" s="285"/>
      <c r="C1" s="285"/>
      <c r="D1" s="285"/>
    </row>
    <row r="2" spans="1:4" x14ac:dyDescent="0.2">
      <c r="A2" s="187" t="s">
        <v>716</v>
      </c>
      <c r="B2" s="186" t="str">
        <f>'DOE25'!A2</f>
        <v>Sanborn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19240</v>
      </c>
    </row>
    <row r="5" spans="1:4" x14ac:dyDescent="0.2">
      <c r="B5" t="s">
        <v>703</v>
      </c>
      <c r="C5" s="179">
        <f>IF('DOE25'!G665+'DOE25'!G670=0,0,ROUND('DOE25'!G672,0))</f>
        <v>16993</v>
      </c>
    </row>
    <row r="6" spans="1:4" x14ac:dyDescent="0.2">
      <c r="B6" t="s">
        <v>62</v>
      </c>
      <c r="C6" s="179">
        <f>IF('DOE25'!H665+'DOE25'!H670=0,0,ROUND('DOE25'!H672,0))</f>
        <v>16467</v>
      </c>
    </row>
    <row r="7" spans="1:4" x14ac:dyDescent="0.2">
      <c r="B7" t="s">
        <v>704</v>
      </c>
      <c r="C7" s="179">
        <f>IF('DOE25'!I665+'DOE25'!I670=0,0,ROUND('DOE25'!I672,0))</f>
        <v>17654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13132370</v>
      </c>
      <c r="D10" s="182">
        <f>ROUND((C10/$C$28)*100,1)</f>
        <v>41.3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5392596</v>
      </c>
      <c r="D11" s="182">
        <f>ROUND((C11/$C$28)*100,1)</f>
        <v>17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174708</v>
      </c>
      <c r="D12" s="182">
        <f>ROUND((C12/$C$28)*100,1)</f>
        <v>0.5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545315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2400270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853873</v>
      </c>
      <c r="D16" s="182">
        <f t="shared" si="0"/>
        <v>2.7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1571775</v>
      </c>
      <c r="D17" s="182">
        <f t="shared" si="0"/>
        <v>4.9000000000000004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1888647</v>
      </c>
      <c r="D18" s="182">
        <f t="shared" si="0"/>
        <v>5.9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322941</v>
      </c>
      <c r="D19" s="182">
        <f t="shared" si="0"/>
        <v>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3106795</v>
      </c>
      <c r="D20" s="182">
        <f t="shared" si="0"/>
        <v>9.8000000000000007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1251352</v>
      </c>
      <c r="D21" s="182">
        <f t="shared" si="0"/>
        <v>3.9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989013</v>
      </c>
      <c r="D25" s="182">
        <f t="shared" si="0"/>
        <v>3.1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160481.06</v>
      </c>
      <c r="D27" s="182">
        <f t="shared" si="0"/>
        <v>0.5</v>
      </c>
    </row>
    <row r="28" spans="1:4" x14ac:dyDescent="0.2">
      <c r="B28" s="187" t="s">
        <v>722</v>
      </c>
      <c r="C28" s="180">
        <f>SUM(C10:C27)</f>
        <v>31790136.059999999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422284</v>
      </c>
    </row>
    <row r="30" spans="1:4" x14ac:dyDescent="0.2">
      <c r="B30" s="187" t="s">
        <v>728</v>
      </c>
      <c r="C30" s="180">
        <f>SUM(C28:C29)</f>
        <v>32212420.059999999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1286752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20895575</v>
      </c>
      <c r="D35" s="182">
        <f t="shared" ref="D35:D40" si="1">ROUND((C35/$C$41)*100,1)</f>
        <v>63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4045102.2300000004</v>
      </c>
      <c r="D36" s="182">
        <f t="shared" si="1"/>
        <v>12.2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6149067</v>
      </c>
      <c r="D37" s="182">
        <f t="shared" si="1"/>
        <v>18.5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971318</v>
      </c>
      <c r="D38" s="182">
        <f t="shared" si="1"/>
        <v>2.9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1129941</v>
      </c>
      <c r="D39" s="182">
        <f t="shared" si="1"/>
        <v>3.4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33191003.23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37" sqref="C37:M4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769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766</v>
      </c>
      <c r="B2" s="297"/>
      <c r="C2" s="297"/>
      <c r="D2" s="297"/>
      <c r="E2" s="297"/>
      <c r="F2" s="294" t="str">
        <f>'DOE25'!A2</f>
        <v>Sanborn Regional School District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2" t="s">
        <v>770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847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2017-11-16T13:04:31Z</cp:lastPrinted>
  <dcterms:created xsi:type="dcterms:W3CDTF">1997-12-04T19:04:30Z</dcterms:created>
  <dcterms:modified xsi:type="dcterms:W3CDTF">2017-11-29T18:02:39Z</dcterms:modified>
</cp:coreProperties>
</file>