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60" windowWidth="24885" windowHeight="1188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186" i="1" l="1"/>
  <c r="C39" i="12" l="1"/>
  <c r="B39" i="12"/>
  <c r="I279" i="1"/>
  <c r="H279" i="1"/>
  <c r="G279" i="1"/>
  <c r="F279" i="1"/>
  <c r="F497" i="1"/>
  <c r="F521" i="1" l="1"/>
  <c r="G526" i="1"/>
  <c r="F526" i="1"/>
  <c r="H521" i="1"/>
  <c r="I521" i="1"/>
  <c r="J521" i="1"/>
  <c r="G521" i="1"/>
  <c r="G531" i="1"/>
  <c r="C20" i="12" l="1"/>
  <c r="C21" i="12"/>
  <c r="C19" i="12"/>
  <c r="C10" i="12"/>
  <c r="C12" i="12"/>
  <c r="C11" i="12"/>
  <c r="C37" i="12"/>
  <c r="C38" i="12"/>
  <c r="G197" i="1"/>
  <c r="K209" i="1"/>
  <c r="G203" i="1"/>
  <c r="F531" i="1"/>
  <c r="B12" i="12" l="1"/>
  <c r="B11" i="12"/>
  <c r="B10" i="12"/>
  <c r="B37" i="12"/>
  <c r="B20" i="12"/>
  <c r="B21" i="12"/>
  <c r="F110" i="1"/>
  <c r="H604" i="1"/>
  <c r="I250" i="1"/>
  <c r="K283" i="1"/>
  <c r="I277" i="1"/>
  <c r="I276" i="1"/>
  <c r="F14" i="1"/>
  <c r="F49" i="1"/>
  <c r="F29" i="1"/>
  <c r="J207" i="1"/>
  <c r="I197" i="1"/>
  <c r="I207" i="1"/>
  <c r="I203" i="1"/>
  <c r="H208" i="1"/>
  <c r="H207" i="1"/>
  <c r="H204" i="1"/>
  <c r="H203" i="1"/>
  <c r="F203" i="1"/>
  <c r="F202" i="1"/>
  <c r="F200" i="1"/>
  <c r="H155" i="1"/>
  <c r="H159" i="1"/>
  <c r="H154" i="1"/>
  <c r="F367" i="1"/>
  <c r="I358" i="1"/>
  <c r="F368" i="1"/>
  <c r="G358" i="1"/>
  <c r="F358" i="1"/>
  <c r="G158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20" i="2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C110" i="2" s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C119" i="2" s="1"/>
  <c r="L221" i="1"/>
  <c r="L239" i="1"/>
  <c r="F12" i="13"/>
  <c r="G12" i="13"/>
  <c r="L205" i="1"/>
  <c r="C121" i="2" s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H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E109" i="2" s="1"/>
  <c r="L315" i="1"/>
  <c r="E110" i="2" s="1"/>
  <c r="L316" i="1"/>
  <c r="C12" i="10" s="1"/>
  <c r="L317" i="1"/>
  <c r="C13" i="10" s="1"/>
  <c r="L319" i="1"/>
  <c r="L320" i="1"/>
  <c r="L321" i="1"/>
  <c r="L322" i="1"/>
  <c r="L323" i="1"/>
  <c r="C19" i="10" s="1"/>
  <c r="L324" i="1"/>
  <c r="L325" i="1"/>
  <c r="C21" i="10" s="1"/>
  <c r="L326" i="1"/>
  <c r="L333" i="1"/>
  <c r="L334" i="1"/>
  <c r="L335" i="1"/>
  <c r="L260" i="1"/>
  <c r="C131" i="2" s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A31" i="12" s="1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401" i="1" s="1"/>
  <c r="C139" i="2" s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5" i="10"/>
  <c r="C18" i="10"/>
  <c r="L250" i="1"/>
  <c r="C113" i="2" s="1"/>
  <c r="L332" i="1"/>
  <c r="E113" i="2" s="1"/>
  <c r="L254" i="1"/>
  <c r="C25" i="10"/>
  <c r="L268" i="1"/>
  <c r="L269" i="1"/>
  <c r="L349" i="1"/>
  <c r="L350" i="1"/>
  <c r="I665" i="1"/>
  <c r="I670" i="1"/>
  <c r="L229" i="1"/>
  <c r="L247" i="1"/>
  <c r="F662" i="1"/>
  <c r="G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F552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D31" i="2" s="1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1" i="2"/>
  <c r="C112" i="2"/>
  <c r="C114" i="2"/>
  <c r="E114" i="2"/>
  <c r="D115" i="2"/>
  <c r="F115" i="2"/>
  <c r="G115" i="2"/>
  <c r="C118" i="2"/>
  <c r="E118" i="2"/>
  <c r="E119" i="2"/>
  <c r="E121" i="2"/>
  <c r="C122" i="2"/>
  <c r="C124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F192" i="1" s="1"/>
  <c r="G183" i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H257" i="1" s="1"/>
  <c r="H271" i="1" s="1"/>
  <c r="I211" i="1"/>
  <c r="I257" i="1" s="1"/>
  <c r="I271" i="1" s="1"/>
  <c r="J211" i="1"/>
  <c r="J257" i="1" s="1"/>
  <c r="J271" i="1" s="1"/>
  <c r="K211" i="1"/>
  <c r="K257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F338" i="1" s="1"/>
  <c r="F352" i="1" s="1"/>
  <c r="G328" i="1"/>
  <c r="G338" i="1" s="1"/>
  <c r="G352" i="1" s="1"/>
  <c r="H328" i="1"/>
  <c r="H338" i="1" s="1"/>
  <c r="H352" i="1" s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J645" i="1" s="1"/>
  <c r="H401" i="1"/>
  <c r="I401" i="1"/>
  <c r="F407" i="1"/>
  <c r="G407" i="1"/>
  <c r="H407" i="1"/>
  <c r="I407" i="1"/>
  <c r="F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F461" i="1"/>
  <c r="G461" i="1"/>
  <c r="H461" i="1"/>
  <c r="F470" i="1"/>
  <c r="F476" i="1" s="1"/>
  <c r="H622" i="1" s="1"/>
  <c r="G470" i="1"/>
  <c r="H470" i="1"/>
  <c r="I470" i="1"/>
  <c r="J470" i="1"/>
  <c r="F474" i="1"/>
  <c r="G474" i="1"/>
  <c r="H474" i="1"/>
  <c r="H476" i="1" s="1"/>
  <c r="H624" i="1" s="1"/>
  <c r="J624" i="1" s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I545" i="1" s="1"/>
  <c r="J524" i="1"/>
  <c r="J545" i="1" s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H545" i="1" s="1"/>
  <c r="I539" i="1"/>
  <c r="J539" i="1"/>
  <c r="K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7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G640" i="1"/>
  <c r="H640" i="1"/>
  <c r="G641" i="1"/>
  <c r="H641" i="1"/>
  <c r="G642" i="1"/>
  <c r="G643" i="1"/>
  <c r="H643" i="1"/>
  <c r="G644" i="1"/>
  <c r="H644" i="1"/>
  <c r="G645" i="1"/>
  <c r="H647" i="1"/>
  <c r="G649" i="1"/>
  <c r="G650" i="1"/>
  <c r="G651" i="1"/>
  <c r="G652" i="1"/>
  <c r="H652" i="1"/>
  <c r="G653" i="1"/>
  <c r="H653" i="1"/>
  <c r="G654" i="1"/>
  <c r="H654" i="1"/>
  <c r="H655" i="1"/>
  <c r="J655" i="1" s="1"/>
  <c r="L256" i="1"/>
  <c r="G164" i="2"/>
  <c r="C18" i="2"/>
  <c r="C26" i="10"/>
  <c r="L351" i="1"/>
  <c r="L290" i="1"/>
  <c r="C70" i="2"/>
  <c r="D62" i="2"/>
  <c r="D63" i="2" s="1"/>
  <c r="D18" i="13"/>
  <c r="C18" i="13" s="1"/>
  <c r="D15" i="13"/>
  <c r="C15" i="13" s="1"/>
  <c r="D17" i="13"/>
  <c r="C17" i="13" s="1"/>
  <c r="D6" i="13"/>
  <c r="C6" i="13" s="1"/>
  <c r="E8" i="13"/>
  <c r="C8" i="13" s="1"/>
  <c r="C91" i="2"/>
  <c r="F78" i="2"/>
  <c r="F81" i="2" s="1"/>
  <c r="C78" i="2"/>
  <c r="D50" i="2"/>
  <c r="G157" i="2"/>
  <c r="F18" i="2"/>
  <c r="G161" i="2"/>
  <c r="G156" i="2"/>
  <c r="E103" i="2"/>
  <c r="D91" i="2"/>
  <c r="E62" i="2"/>
  <c r="E63" i="2" s="1"/>
  <c r="E31" i="2"/>
  <c r="G62" i="2"/>
  <c r="D19" i="13"/>
  <c r="C19" i="13" s="1"/>
  <c r="E13" i="13"/>
  <c r="C13" i="13" s="1"/>
  <c r="E78" i="2"/>
  <c r="E81" i="2" s="1"/>
  <c r="L427" i="1"/>
  <c r="H112" i="1"/>
  <c r="F112" i="1"/>
  <c r="J641" i="1"/>
  <c r="J639" i="1"/>
  <c r="J571" i="1"/>
  <c r="K571" i="1"/>
  <c r="L433" i="1"/>
  <c r="L419" i="1"/>
  <c r="D81" i="2"/>
  <c r="I169" i="1"/>
  <c r="H169" i="1"/>
  <c r="J644" i="1"/>
  <c r="J643" i="1"/>
  <c r="I476" i="1"/>
  <c r="H625" i="1" s="1"/>
  <c r="J625" i="1" s="1"/>
  <c r="F169" i="1"/>
  <c r="J140" i="1"/>
  <c r="F571" i="1"/>
  <c r="I552" i="1"/>
  <c r="K550" i="1"/>
  <c r="G22" i="2"/>
  <c r="K545" i="1"/>
  <c r="J552" i="1"/>
  <c r="C29" i="10"/>
  <c r="H140" i="1"/>
  <c r="L393" i="1"/>
  <c r="F22" i="13"/>
  <c r="C22" i="13" s="1"/>
  <c r="H25" i="13"/>
  <c r="C25" i="13" s="1"/>
  <c r="J651" i="1"/>
  <c r="J640" i="1"/>
  <c r="H571" i="1"/>
  <c r="L560" i="1"/>
  <c r="G192" i="1"/>
  <c r="H192" i="1"/>
  <c r="C35" i="10"/>
  <c r="L309" i="1"/>
  <c r="L570" i="1"/>
  <c r="I571" i="1"/>
  <c r="J636" i="1"/>
  <c r="G36" i="2"/>
  <c r="L565" i="1"/>
  <c r="K551" i="1"/>
  <c r="C138" i="2"/>
  <c r="G545" i="1" l="1"/>
  <c r="D12" i="13"/>
  <c r="C12" i="13" s="1"/>
  <c r="K500" i="1"/>
  <c r="K503" i="1"/>
  <c r="L524" i="1"/>
  <c r="K549" i="1"/>
  <c r="K552" i="1" s="1"/>
  <c r="L539" i="1"/>
  <c r="A40" i="12"/>
  <c r="A13" i="12"/>
  <c r="E120" i="2"/>
  <c r="J338" i="1"/>
  <c r="J352" i="1" s="1"/>
  <c r="E122" i="2"/>
  <c r="E123" i="2"/>
  <c r="C16" i="10"/>
  <c r="E111" i="2"/>
  <c r="C10" i="10"/>
  <c r="J622" i="1"/>
  <c r="J617" i="1"/>
  <c r="D14" i="13"/>
  <c r="C14" i="13" s="1"/>
  <c r="C32" i="10"/>
  <c r="H33" i="13"/>
  <c r="K271" i="1"/>
  <c r="C17" i="10"/>
  <c r="C123" i="2"/>
  <c r="C20" i="10"/>
  <c r="D5" i="13"/>
  <c r="C5" i="13" s="1"/>
  <c r="C125" i="2"/>
  <c r="E16" i="13"/>
  <c r="C16" i="13" s="1"/>
  <c r="D7" i="13"/>
  <c r="C7" i="13" s="1"/>
  <c r="L614" i="1"/>
  <c r="L211" i="1"/>
  <c r="F660" i="1" s="1"/>
  <c r="C109" i="2"/>
  <c r="C115" i="2" s="1"/>
  <c r="C81" i="2"/>
  <c r="C62" i="2"/>
  <c r="C63" i="2" s="1"/>
  <c r="K338" i="1"/>
  <c r="K352" i="1" s="1"/>
  <c r="E124" i="2"/>
  <c r="E128" i="2" s="1"/>
  <c r="H662" i="1"/>
  <c r="I662" i="1" s="1"/>
  <c r="L328" i="1"/>
  <c r="H660" i="1" s="1"/>
  <c r="E112" i="2"/>
  <c r="C11" i="10"/>
  <c r="J476" i="1"/>
  <c r="H626" i="1" s="1"/>
  <c r="I460" i="1"/>
  <c r="I461" i="1" s="1"/>
  <c r="H642" i="1" s="1"/>
  <c r="J642" i="1" s="1"/>
  <c r="J649" i="1"/>
  <c r="K598" i="1"/>
  <c r="G647" i="1" s="1"/>
  <c r="J647" i="1" s="1"/>
  <c r="I369" i="1"/>
  <c r="H634" i="1" s="1"/>
  <c r="J634" i="1"/>
  <c r="D127" i="2"/>
  <c r="D128" i="2" s="1"/>
  <c r="D145" i="2" s="1"/>
  <c r="G661" i="1"/>
  <c r="L362" i="1"/>
  <c r="C27" i="10" s="1"/>
  <c r="F661" i="1"/>
  <c r="D29" i="13"/>
  <c r="C29" i="13" s="1"/>
  <c r="G476" i="1"/>
  <c r="H623" i="1" s="1"/>
  <c r="J623" i="1"/>
  <c r="D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G571" i="1"/>
  <c r="I434" i="1"/>
  <c r="G434" i="1"/>
  <c r="E104" i="2"/>
  <c r="I663" i="1"/>
  <c r="L545" i="1" l="1"/>
  <c r="E33" i="13"/>
  <c r="D35" i="13" s="1"/>
  <c r="E115" i="2"/>
  <c r="E145" i="2" s="1"/>
  <c r="C128" i="2"/>
  <c r="C145" i="2" s="1"/>
  <c r="L257" i="1"/>
  <c r="L271" i="1" s="1"/>
  <c r="G632" i="1" s="1"/>
  <c r="J632" i="1" s="1"/>
  <c r="C104" i="2"/>
  <c r="H664" i="1"/>
  <c r="H672" i="1" s="1"/>
  <c r="C6" i="10" s="1"/>
  <c r="L338" i="1"/>
  <c r="L352" i="1" s="1"/>
  <c r="G633" i="1" s="1"/>
  <c r="J633" i="1" s="1"/>
  <c r="D31" i="13"/>
  <c r="C31" i="13" s="1"/>
  <c r="I660" i="1"/>
  <c r="C28" i="10"/>
  <c r="D19" i="10" s="1"/>
  <c r="G104" i="2"/>
  <c r="G635" i="1"/>
  <c r="J635" i="1" s="1"/>
  <c r="I661" i="1"/>
  <c r="G664" i="1"/>
  <c r="F664" i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D33" i="13" l="1"/>
  <c r="D36" i="13" s="1"/>
  <c r="I664" i="1"/>
  <c r="I672" i="1" s="1"/>
  <c r="C7" i="10" s="1"/>
  <c r="H667" i="1"/>
  <c r="D13" i="10"/>
  <c r="D11" i="10"/>
  <c r="D21" i="10"/>
  <c r="D22" i="10"/>
  <c r="D24" i="10"/>
  <c r="D27" i="10"/>
  <c r="D18" i="10"/>
  <c r="D17" i="10"/>
  <c r="D12" i="10"/>
  <c r="D10" i="10"/>
  <c r="D26" i="10"/>
  <c r="C30" i="10"/>
  <c r="D16" i="10"/>
  <c r="D23" i="10"/>
  <c r="D20" i="10"/>
  <c r="D15" i="10"/>
  <c r="D25" i="10"/>
  <c r="F672" i="1"/>
  <c r="C4" i="10" s="1"/>
  <c r="F667" i="1"/>
  <c r="G672" i="1"/>
  <c r="C5" i="10" s="1"/>
  <c r="G667" i="1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<sst xmlns="http://schemas.openxmlformats.org/spreadsheetml/2006/main" count="3958" uniqueCount="916">
  <si>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</si>
  <si>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</si>
  <si>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</si>
  <si>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</si>
  <si>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</si>
  <si>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</si>
  <si>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</si>
  <si>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</si>
  <si>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</si>
  <si>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</si>
  <si>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</si>
  <si>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</si>
  <si>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</si>
  <si>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</si>
  <si>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</si>
  <si>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</si>
  <si>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</si>
  <si>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</si>
  <si>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</si>
  <si>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</si>
  <si>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</si>
  <si>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</si>
  <si>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</si>
  <si>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</si>
  <si>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</si>
  <si>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</si>
  <si>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</si>
  <si>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</si>
  <si>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</si>
  <si>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</si>
  <si>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</si>
  <si>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</si>
  <si>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</si>
  <si>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</si>
  <si>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</si>
  <si>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</si>
  <si>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</si>
  <si>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</si>
  <si>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</si>
  <si>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</si>
  <si>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</si>
  <si>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</si>
  <si>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</si>
  <si>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</si>
  <si>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</si>
  <si>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</si>
  <si>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</si>
  <si>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</si>
  <si>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</si>
  <si>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</si>
  <si>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</si>
  <si>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</si>
  <si>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</si>
  <si>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</si>
  <si>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</si>
  <si>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</si>
  <si>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</si>
  <si>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</si>
  <si>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</si>
  <si>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</si>
  <si>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</si>
  <si>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</si>
  <si>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</si>
  <si>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</si>
  <si>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</si>
  <si>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</si>
  <si>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</si>
  <si>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</si>
  <si>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</si>
  <si>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</si>
  <si>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</si>
  <si>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</si>
  <si>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</si>
  <si>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</si>
  <si>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</si>
  <si>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</si>
  <si>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</si>
  <si>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</si>
  <si>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</si>
  <si>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</si>
  <si>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</si>
  <si>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</si>
  <si>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</si>
  <si>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</si>
  <si>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</si>
  <si>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</si>
  <si>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</si>
  <si>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</si>
  <si>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</si>
  <si>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</si>
  <si>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</si>
  <si>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</si>
  <si>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</si>
  <si>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</si>
  <si>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</si>
  <si>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</si>
  <si>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</si>
  <si>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</si>
  <si>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</si>
  <si>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</si>
  <si>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</si>
  <si>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</si>
  <si>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</si>
  <si>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</si>
  <si>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</si>
  <si>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</si>
  <si>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</si>
  <si>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</si>
  <si>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</si>
  <si>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</si>
  <si>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</si>
  <si>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</si>
  <si>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</si>
  <si>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</si>
  <si>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</si>
  <si>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</si>
  <si>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</si>
  <si>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</si>
  <si>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</si>
  <si>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</si>
  <si>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</si>
  <si>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</si>
  <si>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</si>
  <si>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</si>
  <si>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</si>
  <si>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</si>
  <si>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</si>
  <si>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</si>
  <si>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</si>
  <si>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</si>
  <si>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</si>
  <si>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</si>
  <si>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</si>
  <si>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</si>
  <si>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</si>
  <si>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</si>
  <si>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</si>
  <si>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</si>
  <si>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</si>
  <si>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</si>
  <si>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</si>
  <si>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</si>
  <si>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</si>
  <si>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</si>
  <si>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</si>
  <si>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</si>
  <si>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</si>
  <si>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</si>
  <si>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</si>
  <si>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</si>
  <si>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</si>
  <si>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</si>
  <si>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</si>
  <si>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</si>
  <si>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</si>
  <si>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</si>
  <si>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</si>
  <si>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</si>
  <si>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</si>
  <si>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</si>
  <si>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</si>
  <si>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</si>
  <si>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</si>
  <si>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</si>
  <si>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</si>
  <si>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</si>
  <si>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</si>
  <si>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</si>
  <si>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</si>
  <si>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</si>
  <si>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</si>
  <si>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</si>
  <si>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</si>
  <si>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</si>
  <si>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</si>
  <si>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</si>
  <si>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</si>
  <si>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</si>
  <si>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</si>
  <si>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</si>
  <si>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</si>
  <si>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</si>
  <si>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</si>
  <si>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</si>
  <si>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</si>
  <si>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</si>
  <si>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</si>
  <si>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</si>
  <si>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</si>
  <si>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</si>
  <si>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</si>
  <si>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</si>
  <si>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</si>
  <si>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</si>
  <si>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</si>
  <si>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</si>
  <si>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</si>
  <si>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</si>
  <si>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</si>
  <si>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</si>
  <si>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</si>
  <si>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</si>
  <si>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</si>
  <si>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</si>
  <si>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</si>
  <si>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</si>
  <si>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</si>
  <si>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</si>
  <si>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</si>
  <si>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</si>
  <si>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</si>
  <si>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</si>
  <si>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</si>
  <si>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</si>
  <si>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</si>
  <si>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</si>
  <si>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</si>
  <si>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</si>
  <si>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</si>
  <si>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</si>
  <si>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</si>
  <si>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</si>
  <si>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</si>
  <si>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</si>
  <si>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</si>
  <si>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</si>
  <si>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</si>
  <si>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</si>
  <si>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</si>
  <si>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</si>
  <si>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</si>
  <si>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</si>
  <si>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</si>
  <si>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</si>
  <si>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</si>
  <si>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</si>
  <si>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</si>
  <si>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</si>
  <si>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</si>
  <si>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</si>
  <si>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</si>
  <si>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</si>
  <si>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</si>
  <si>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</si>
  <si>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</si>
  <si>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</si>
  <si>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</si>
  <si>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</si>
  <si>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</si>
  <si>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</si>
  <si>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</si>
  <si>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</si>
  <si>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</si>
  <si>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</si>
  <si>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</si>
  <si>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</si>
  <si>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</si>
  <si>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</si>
  <si>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</si>
  <si>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</si>
  <si>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</si>
  <si>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</si>
  <si>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</si>
  <si>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</si>
  <si>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</si>
  <si>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</si>
  <si>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</si>
  <si>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</si>
  <si>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</si>
  <si>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</si>
  <si>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</si>
  <si>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</si>
  <si>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</si>
  <si>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</si>
  <si>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</si>
  <si>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</si>
  <si>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</si>
  <si>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</si>
  <si>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</si>
  <si>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</si>
  <si>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</si>
  <si>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</si>
  <si>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</si>
  <si>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</si>
  <si>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</si>
  <si>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</si>
  <si>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</si>
  <si>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</si>
  <si>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</si>
  <si>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</si>
  <si>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</si>
  <si>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</si>
  <si>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</si>
  <si>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</si>
  <si>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</si>
  <si>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</si>
  <si>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</si>
  <si>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</si>
  <si>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</si>
  <si>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</si>
  <si>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</si>
  <si>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</si>
  <si>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</si>
  <si>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</si>
  <si>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</si>
  <si>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</si>
  <si>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</si>
  <si>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</si>
  <si>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</si>
  <si>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</si>
  <si>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</si>
  <si>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</si>
  <si>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</si>
  <si>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</si>
  <si>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</si>
  <si>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</si>
  <si>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</si>
  <si>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</si>
  <si>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</si>
  <si>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</si>
  <si>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</si>
  <si>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</si>
  <si>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</si>
  <si>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</si>
  <si>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</si>
  <si>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</si>
  <si>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</si>
  <si>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</si>
  <si>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</si>
  <si>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</si>
  <si>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</si>
  <si>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</si>
  <si>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</si>
  <si>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</si>
  <si>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</si>
  <si>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</si>
  <si>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</si>
  <si>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</si>
  <si>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</si>
  <si>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</si>
  <si>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</si>
  <si>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</si>
  <si>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</si>
  <si>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</si>
  <si>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</si>
  <si>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</si>
  <si>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</si>
  <si>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</si>
  <si>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</si>
  <si>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</si>
  <si>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</si>
  <si>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</si>
  <si>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</si>
  <si>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</si>
  <si>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</si>
  <si>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</si>
  <si>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</si>
  <si>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</si>
  <si>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</si>
  <si>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</si>
  <si>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</si>
  <si>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</si>
  <si>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</si>
  <si>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</si>
  <si>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</si>
  <si>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</si>
  <si>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</si>
  <si>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</si>
  <si>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</si>
  <si>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</si>
  <si>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</si>
  <si>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</si>
  <si>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</si>
  <si>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</si>
  <si>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</si>
  <si>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</si>
  <si>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</si>
  <si>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</si>
  <si>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</si>
  <si>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</si>
  <si>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</si>
  <si>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</si>
  <si>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</si>
  <si>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</si>
  <si>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</si>
  <si>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</si>
  <si>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</si>
  <si>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</si>
  <si>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</si>
  <si>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</si>
  <si>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</si>
  <si>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</si>
  <si>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</si>
  <si>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</si>
  <si>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</si>
  <si>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</si>
  <si>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</si>
  <si>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</si>
  <si>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</si>
  <si>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</si>
  <si>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</si>
  <si>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</si>
  <si>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</si>
  <si>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</si>
  <si>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</si>
  <si>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</si>
  <si>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</si>
  <si>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</si>
  <si>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</si>
  <si>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</si>
  <si>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</si>
  <si>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</si>
  <si>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</si>
  <si>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</si>
  <si>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</si>
  <si>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</si>
  <si>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</si>
  <si>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</si>
  <si>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</si>
  <si>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</si>
  <si>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</si>
  <si>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</si>
  <si>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</si>
  <si>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</si>
  <si>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</si>
  <si>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</si>
  <si>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</si>
  <si>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</si>
  <si>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</si>
  <si>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</si>
  <si>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</si>
  <si>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</si>
  <si>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</si>
  <si>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</si>
  <si>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</si>
  <si>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</si>
  <si>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</si>
  <si>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</si>
  <si>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</si>
  <si>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</si>
  <si>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</si>
  <si>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</si>
  <si>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</si>
  <si>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</si>
  <si>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</si>
  <si>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</si>
  <si>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</si>
  <si>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</si>
  <si>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</si>
  <si>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</si>
  <si>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</si>
  <si>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</si>
  <si>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</si>
  <si>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</si>
  <si>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</si>
  <si>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</si>
  <si>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</si>
  <si>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</si>
  <si>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</si>
  <si>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</si>
  <si>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</si>
  <si>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</si>
  <si>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</si>
  <si>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</si>
  <si>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</si>
  <si>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</si>
  <si>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</si>
  <si>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</si>
  <si>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</si>
  <si>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</si>
  <si>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</si>
  <si>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</si>
  <si>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</si>
  <si>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</si>
  <si>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</si>
  <si>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</si>
  <si>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</si>
  <si>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</si>
  <si>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</si>
  <si>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</si>
  <si>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</si>
  <si>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</si>
  <si>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</si>
  <si>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</si>
  <si>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</si>
  <si>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</si>
  <si>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</si>
  <si>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</si>
  <si>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</si>
  <si>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</si>
  <si>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</si>
  <si>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</si>
  <si>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</si>
  <si>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</si>
  <si>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</si>
  <si>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</si>
  <si>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</si>
  <si>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</si>
  <si>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</si>
  <si>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</si>
  <si>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</si>
  <si>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</si>
  <si>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</si>
  <si>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</si>
  <si>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</si>
  <si>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</si>
  <si>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</si>
  <si>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</si>
  <si>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</si>
  <si>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</si>
  <si>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</si>
  <si>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</si>
  <si>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</si>
  <si>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</si>
  <si>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</si>
  <si>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</si>
  <si>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</si>
  <si>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</si>
  <si>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</si>
  <si>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</si>
  <si>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</si>
  <si>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</si>
  <si>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</si>
  <si>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</si>
  <si>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</si>
  <si>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</si>
  <si>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</si>
  <si>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</si>
  <si>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</si>
  <si>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</si>
  <si>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</si>
  <si>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</si>
  <si>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</si>
  <si>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</si>
  <si>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</si>
  <si>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</si>
  <si>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</si>
  <si>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</si>
  <si>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</si>
  <si>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</si>
  <si>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</si>
  <si>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</si>
  <si>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</si>
  <si>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</si>
  <si>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</si>
  <si>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</si>
  <si>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</si>
  <si>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</si>
  <si>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</si>
  <si>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</si>
  <si>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</si>
  <si>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</si>
  <si>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</si>
  <si>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</si>
  <si>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</si>
  <si>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</si>
  <si>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</si>
  <si>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</si>
  <si>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</si>
  <si>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</si>
  <si>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</si>
  <si>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</si>
  <si>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</si>
  <si>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</si>
  <si>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</si>
  <si>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</si>
  <si>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</si>
  <si>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</si>
  <si>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</si>
  <si>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</si>
  <si>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</si>
  <si>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</si>
  <si>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</si>
  <si>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</si>
  <si>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</si>
  <si>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</si>
  <si>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</si>
  <si>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</si>
  <si>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</si>
  <si>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</si>
  <si>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</si>
  <si>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</si>
  <si>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</si>
  <si>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</si>
  <si>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</si>
  <si>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</si>
  <si>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</si>
  <si>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</si>
  <si>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</si>
  <si>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</si>
  <si>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</si>
  <si>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</si>
  <si>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</si>
  <si>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</si>
  <si>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</si>
  <si>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</si>
  <si>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</si>
  <si>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</si>
  <si>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</si>
  <si>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</si>
  <si>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</si>
  <si>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</si>
  <si>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</si>
  <si>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</si>
  <si>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</si>
  <si>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</si>
  <si>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</si>
  <si>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</si>
  <si>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</si>
  <si>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</si>
  <si>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</si>
  <si>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</si>
  <si>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</si>
  <si>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</si>
  <si>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</si>
  <si>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</si>
  <si>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</si>
  <si>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</si>
  <si>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</si>
  <si>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</si>
  <si>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</si>
  <si>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</si>
  <si>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</si>
  <si>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</si>
  <si>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</si>
  <si>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</si>
  <si>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</si>
  <si>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</si>
  <si>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</si>
  <si>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</si>
  <si>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</si>
  <si>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</si>
  <si>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</si>
  <si>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</si>
  <si>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</si>
  <si>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</si>
  <si>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</si>
  <si>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</si>
  <si>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</si>
  <si>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</si>
  <si>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</si>
  <si>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</si>
  <si>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</si>
  <si>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</si>
  <si>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</si>
  <si>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</si>
  <si>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</si>
  <si>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</si>
  <si>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</si>
  <si>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</si>
  <si>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</si>
  <si>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</si>
  <si>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</si>
  <si>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</si>
  <si>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</si>
  <si>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</si>
  <si>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</si>
  <si>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</si>
  <si>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</si>
  <si>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</si>
  <si>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</si>
  <si>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</si>
  <si>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</si>
  <si>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</si>
  <si>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</si>
  <si>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</si>
  <si>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</si>
  <si>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</si>
  <si>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</si>
  <si>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</si>
  <si>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</si>
  <si>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</si>
  <si>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</si>
  <si>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</si>
  <si>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</si>
  <si>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</si>
  <si>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</si>
  <si>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</si>
  <si>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</si>
  <si>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</si>
  <si>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</si>
  <si>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</si>
  <si>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</si>
  <si>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</si>
  <si>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</si>
  <si>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</si>
  <si>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</si>
  <si>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</si>
  <si>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</si>
  <si>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</si>
  <si>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</si>
  <si>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</si>
  <si>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</si>
  <si>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</si>
  <si>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</si>
  <si>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</si>
  <si>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</si>
  <si>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</si>
  <si>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</si>
  <si>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</si>
  <si>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</si>
  <si>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</si>
  <si>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</si>
  <si>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</si>
  <si>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</si>
  <si>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</si>
  <si>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</si>
  <si>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</si>
  <si>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</si>
  <si>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</si>
  <si>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</si>
  <si>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</si>
  <si>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</si>
  <si>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</si>
  <si>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</si>
  <si>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</si>
  <si>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</si>
  <si>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</si>
  <si>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</si>
  <si>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</si>
  <si>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</si>
  <si>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</si>
  <si>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</si>
  <si>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</si>
  <si>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</si>
  <si>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</si>
  <si>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</si>
  <si>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</si>
  <si>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</si>
  <si>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</si>
  <si>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</si>
  <si>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</si>
  <si>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</si>
  <si>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</si>
  <si>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</si>
  <si>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</si>
  <si>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</si>
  <si>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</si>
  <si>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</si>
  <si>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</si>
  <si>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</si>
  <si>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</si>
  <si>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</si>
  <si>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</si>
  <si>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</si>
  <si>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</si>
  <si>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</si>
  <si>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</si>
  <si>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</si>
  <si>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</si>
  <si>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</si>
  <si>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</si>
  <si>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</si>
  <si>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</si>
  <si>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</si>
  <si>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</si>
  <si>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</si>
  <si>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</si>
  <si>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</si>
  <si>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</si>
  <si>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</si>
  <si>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</si>
  <si>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</si>
  <si>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</si>
  <si>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</si>
  <si>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</si>
  <si>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</si>
  <si>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</si>
  <si>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</si>
  <si>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</si>
  <si>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</si>
  <si>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</si>
  <si>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</si>
  <si>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</si>
  <si>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</si>
  <si>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</si>
  <si>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</si>
  <si>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</si>
  <si>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</si>
  <si>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</si>
  <si>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</si>
  <si>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</si>
  <si>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</si>
  <si>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</si>
  <si>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</si>
  <si>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</si>
  <si>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</si>
  <si>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</si>
  <si>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</si>
  <si>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</si>
  <si>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</si>
  <si>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</si>
  <si>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</si>
  <si>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</si>
  <si>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</si>
  <si>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</si>
  <si>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</si>
  <si>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</si>
  <si>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</si>
  <si>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</si>
  <si>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</si>
  <si>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</si>
  <si>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</si>
  <si>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</si>
  <si>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</si>
  <si>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</si>
  <si>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</si>
  <si>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</si>
  <si>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</si>
  <si>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</si>
  <si>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</si>
  <si>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</si>
  <si>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</si>
  <si>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</si>
  <si>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</si>
  <si>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</si>
  <si>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</si>
  <si>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</si>
  <si>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</si>
  <si>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</si>
  <si>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</si>
  <si>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</si>
  <si>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</si>
  <si>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</si>
  <si>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</si>
  <si>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</si>
  <si>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</si>
  <si>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</si>
  <si>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</si>
  <si>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</si>
  <si>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</si>
  <si>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</si>
  <si>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</si>
  <si>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</si>
  <si>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</si>
  <si>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</si>
  <si>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</si>
  <si>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</si>
  <si>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</si>
  <si>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</si>
  <si>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</si>
  <si>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</si>
  <si>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</si>
  <si>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</si>
  <si>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</si>
  <si>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</si>
  <si>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</si>
  <si>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</si>
  <si>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</si>
  <si>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</si>
  <si>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</si>
  <si>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</si>
  <si>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</si>
  <si>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</si>
  <si>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</si>
  <si>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</si>
  <si>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</si>
  <si>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</si>
  <si>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</si>
  <si>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</si>
  <si>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</si>
  <si>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</si>
  <si>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</si>
  <si>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</si>
  <si>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</si>
  <si>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</si>
  <si>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</si>
  <si>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</si>
  <si>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</si>
  <si>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</si>
  <si>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</si>
  <si>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</si>
  <si>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</si>
  <si>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</si>
  <si>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</si>
  <si>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</si>
  <si>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</si>
  <si>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</si>
  <si>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</si>
  <si>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</si>
  <si>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</si>
  <si>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</si>
  <si>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</si>
  <si>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</si>
  <si>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</si>
  <si>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</si>
  <si>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</si>
  <si>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</si>
  <si>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</si>
  <si>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</si>
  <si>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</si>
  <si>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</si>
  <si>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</si>
  <si>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</si>
  <si>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</si>
  <si>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</si>
  <si>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</si>
  <si>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</si>
  <si>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</si>
  <si>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</si>
  <si>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</si>
  <si>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</si>
  <si>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</si>
  <si>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</si>
  <si>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</si>
  <si>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</si>
  <si>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</si>
  <si>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</si>
  <si>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</si>
  <si>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</si>
  <si>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</si>
  <si>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</si>
  <si>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SEABROOK</t>
  </si>
  <si>
    <t>April 2010</t>
  </si>
  <si>
    <t>April 2024</t>
  </si>
  <si>
    <t>Column 3 equals Farm to School Grant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</si>
</sst>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F182" sqref="F182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485</v>
      </c>
      <c r="C2" s="21">
        <v>485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1726765.7</v>
      </c>
      <c r="G9" s="18"/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>
        <v>458.44</v>
      </c>
      <c r="G10" s="18"/>
      <c r="H10" s="18"/>
      <c r="I10" s="18"/>
      <c r="J10" s="67">
        <f>SUM(I440)</f>
        <v>79207.289999999994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75353.87</v>
      </c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28405.35</v>
      </c>
      <c r="G13" s="18">
        <v>17972.259999999998</v>
      </c>
      <c r="H13" s="18">
        <v>71896.27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f>2811.98+1554.6</f>
        <v>4366.58</v>
      </c>
      <c r="G14" s="18">
        <v>13017.85</v>
      </c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>
        <v>7168.78</v>
      </c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1710</v>
      </c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1837059.94</v>
      </c>
      <c r="G19" s="41">
        <f>SUM(G9:G18)</f>
        <v>38158.89</v>
      </c>
      <c r="H19" s="41">
        <f>SUM(H9:H18)</f>
        <v>71896.27</v>
      </c>
      <c r="I19" s="41">
        <f>SUM(I9:I18)</f>
        <v>0</v>
      </c>
      <c r="J19" s="41">
        <f>SUM(J9:J18)</f>
        <v>79207.289999999994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>
        <v>3457.6</v>
      </c>
      <c r="H22" s="18">
        <v>71896.27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51071.02</v>
      </c>
      <c r="G24" s="18"/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12303.7</v>
      </c>
      <c r="G28" s="18">
        <v>126</v>
      </c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f>950.9+25414.4+2993.25+964.85</f>
        <v>30323.4</v>
      </c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>
        <v>1028144.31</v>
      </c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1121842.4300000002</v>
      </c>
      <c r="G32" s="41">
        <f>SUM(G22:G31)</f>
        <v>3583.6</v>
      </c>
      <c r="H32" s="41">
        <f>SUM(H22:H31)</f>
        <v>71896.27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>
        <v>7168.78</v>
      </c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>
        <v>1710</v>
      </c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>
        <v>27406.51</v>
      </c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100000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>
        <v>359693.01</v>
      </c>
      <c r="G48" s="18"/>
      <c r="H48" s="18"/>
      <c r="I48" s="18"/>
      <c r="J48" s="13">
        <f>SUM(I459)</f>
        <v>79207.289999999994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f>92081.88+3125</f>
        <v>95206.88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158607.62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715217.51</v>
      </c>
      <c r="G51" s="41">
        <f>SUM(G35:G50)</f>
        <v>34575.29</v>
      </c>
      <c r="H51" s="41">
        <f>SUM(H35:H50)</f>
        <v>0</v>
      </c>
      <c r="I51" s="41">
        <f>SUM(I35:I50)</f>
        <v>0</v>
      </c>
      <c r="J51" s="41">
        <f>SUM(J35:J50)</f>
        <v>79207.289999999994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1837059.9400000002</v>
      </c>
      <c r="G52" s="41">
        <f>G51+G32</f>
        <v>38158.89</v>
      </c>
      <c r="H52" s="41">
        <f>H51+H32</f>
        <v>71896.27</v>
      </c>
      <c r="I52" s="41">
        <f>I51+I32</f>
        <v>0</v>
      </c>
      <c r="J52" s="41">
        <f>J51+J32</f>
        <v>79207.289999999994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9019617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9019617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0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1244.3699999999999</v>
      </c>
      <c r="G96" s="18"/>
      <c r="H96" s="18"/>
      <c r="I96" s="18"/>
      <c r="J96" s="18">
        <v>2499.62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92694.19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>
        <v>1650</v>
      </c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f>312.46+585.51</f>
        <v>897.97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3792.34</v>
      </c>
      <c r="G111" s="41">
        <f>SUM(G96:G110)</f>
        <v>92694.19</v>
      </c>
      <c r="H111" s="41">
        <f>SUM(H96:H110)</f>
        <v>0</v>
      </c>
      <c r="I111" s="41">
        <f>SUM(I96:I110)</f>
        <v>0</v>
      </c>
      <c r="J111" s="41">
        <f>SUM(J96:J110)</f>
        <v>2499.62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9023409.3399999999</v>
      </c>
      <c r="G112" s="41">
        <f>G60+G111</f>
        <v>92694.19</v>
      </c>
      <c r="H112" s="41">
        <f>H60+H79+H94+H111</f>
        <v>0</v>
      </c>
      <c r="I112" s="41">
        <f>I60+I111</f>
        <v>0</v>
      </c>
      <c r="J112" s="41">
        <f>J60+J111</f>
        <v>2499.62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670827.41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2314568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2985395.41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37601.86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64508.15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5620.52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102110.01000000001</v>
      </c>
      <c r="G136" s="41">
        <f>SUM(G123:G135)</f>
        <v>5620.52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3087505.42</v>
      </c>
      <c r="G140" s="41">
        <f>G121+SUM(G136:G137)</f>
        <v>5620.52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f>16785.42+248998.97</f>
        <v>265784.39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f>-74.81+92.41+21786.93</f>
        <v>21804.53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f>232070.64+37479.28+5108.64</f>
        <v>274658.56000000006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f>1410.06+167336.46+1939.65</f>
        <v>170686.16999999998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74437.259999999995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>
        <v>18915.62</v>
      </c>
      <c r="H161" s="18">
        <v>32196.47</v>
      </c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74437.259999999995</v>
      </c>
      <c r="G162" s="41">
        <f>SUM(G150:G161)</f>
        <v>293574.18000000005</v>
      </c>
      <c r="H162" s="41">
        <f>SUM(H150:H161)</f>
        <v>490471.56000000006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74437.259999999995</v>
      </c>
      <c r="G169" s="41">
        <f>G147+G162+SUM(G163:G168)</f>
        <v>293574.18000000005</v>
      </c>
      <c r="H169" s="41">
        <f>H147+H162+SUM(H163:H168)</f>
        <v>490471.56000000006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/>
      <c r="J179" s="18">
        <v>100000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100000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>
        <f>73000+33500</f>
        <v>106500</v>
      </c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106500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106500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100000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12291852.02</v>
      </c>
      <c r="G193" s="47">
        <f>G112+G140+G169+G192</f>
        <v>391888.89000000007</v>
      </c>
      <c r="H193" s="47">
        <f>H112+H140+H169+H192</f>
        <v>490471.56000000006</v>
      </c>
      <c r="I193" s="47">
        <f>I112+I140+I169+I192</f>
        <v>0</v>
      </c>
      <c r="J193" s="47">
        <f>J112+J140+J192</f>
        <v>102499.62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3876138.61</v>
      </c>
      <c r="G197" s="18">
        <f>1540790.77+0.02</f>
        <v>1540790.79</v>
      </c>
      <c r="H197" s="18">
        <v>29646.89</v>
      </c>
      <c r="I197" s="18">
        <f>107041.04+450</f>
        <v>107491.04</v>
      </c>
      <c r="J197" s="18">
        <v>13765.39</v>
      </c>
      <c r="K197" s="18"/>
      <c r="L197" s="19">
        <f>SUM(F197:K197)</f>
        <v>5567832.7199999997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1340315.2</v>
      </c>
      <c r="G198" s="18">
        <v>443255.56</v>
      </c>
      <c r="H198" s="18">
        <v>377550.23</v>
      </c>
      <c r="I198" s="18">
        <v>5361.92</v>
      </c>
      <c r="J198" s="18">
        <v>2305.52</v>
      </c>
      <c r="K198" s="18">
        <v>1133</v>
      </c>
      <c r="L198" s="19">
        <f>SUM(F198:K198)</f>
        <v>2169921.4300000002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f>37514+20640.6</f>
        <v>58154.6</v>
      </c>
      <c r="G200" s="18">
        <v>4710.5200000000004</v>
      </c>
      <c r="H200" s="18">
        <v>6055</v>
      </c>
      <c r="I200" s="18">
        <v>6071.09</v>
      </c>
      <c r="J200" s="18">
        <v>799.75</v>
      </c>
      <c r="K200" s="18">
        <v>11037.63</v>
      </c>
      <c r="L200" s="19">
        <f>SUM(F200:K200)</f>
        <v>86828.59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f>146481+144484+153831.88</f>
        <v>444796.88</v>
      </c>
      <c r="G202" s="18">
        <v>170538.83</v>
      </c>
      <c r="H202" s="18">
        <v>1055</v>
      </c>
      <c r="I202" s="18">
        <v>2382.75</v>
      </c>
      <c r="J202" s="18"/>
      <c r="K202" s="18"/>
      <c r="L202" s="19">
        <f t="shared" ref="L202:L208" si="0">SUM(F202:K202)</f>
        <v>618773.46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f>136175+135350.73</f>
        <v>271525.73</v>
      </c>
      <c r="G203" s="18">
        <f>16362.65+103044.04</f>
        <v>119406.68999999999</v>
      </c>
      <c r="H203" s="18">
        <f>19886.02+7834.35+106500.27</f>
        <v>134220.64000000001</v>
      </c>
      <c r="I203" s="18">
        <f>19646.61+48699.83</f>
        <v>68346.44</v>
      </c>
      <c r="J203" s="18">
        <v>57523.83</v>
      </c>
      <c r="K203" s="18"/>
      <c r="L203" s="19">
        <f t="shared" si="0"/>
        <v>651023.32999999996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26699.06</v>
      </c>
      <c r="G204" s="18">
        <v>2162.62</v>
      </c>
      <c r="H204" s="18">
        <f>23052.75+391602</f>
        <v>414654.75</v>
      </c>
      <c r="I204" s="18"/>
      <c r="J204" s="18"/>
      <c r="K204" s="18">
        <v>6635.08</v>
      </c>
      <c r="L204" s="19">
        <f t="shared" si="0"/>
        <v>450151.51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443937.55</v>
      </c>
      <c r="G205" s="18">
        <v>204945.03</v>
      </c>
      <c r="H205" s="18">
        <v>10693.86</v>
      </c>
      <c r="I205" s="18">
        <v>4197.5200000000004</v>
      </c>
      <c r="J205" s="18"/>
      <c r="K205" s="18">
        <v>2923</v>
      </c>
      <c r="L205" s="19">
        <f t="shared" si="0"/>
        <v>666696.95999999996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413891.39</v>
      </c>
      <c r="G207" s="18">
        <v>139484.49</v>
      </c>
      <c r="H207" s="18">
        <f>115427.23+57455+1988.71</f>
        <v>174870.93999999997</v>
      </c>
      <c r="I207" s="18">
        <f>204948.78+3201.7</f>
        <v>208150.48</v>
      </c>
      <c r="J207" s="18">
        <f>26865.28+5881.1+445.16</f>
        <v>33191.54</v>
      </c>
      <c r="K207" s="18"/>
      <c r="L207" s="19">
        <f t="shared" si="0"/>
        <v>969588.84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f>558692.49+164720.73+8330.21+8898.68+40790.71</f>
        <v>781432.82</v>
      </c>
      <c r="I208" s="18"/>
      <c r="J208" s="18"/>
      <c r="K208" s="18"/>
      <c r="L208" s="19">
        <f t="shared" si="0"/>
        <v>781432.82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>
        <f>378.95+8995.78</f>
        <v>9374.7300000000014</v>
      </c>
      <c r="L209" s="19">
        <f>SUM(F209:K209)</f>
        <v>9374.7300000000014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6875459.0199999986</v>
      </c>
      <c r="G211" s="41">
        <f t="shared" si="1"/>
        <v>2625294.5300000003</v>
      </c>
      <c r="H211" s="41">
        <f t="shared" si="1"/>
        <v>1930180.13</v>
      </c>
      <c r="I211" s="41">
        <f t="shared" si="1"/>
        <v>402001.24</v>
      </c>
      <c r="J211" s="41">
        <f t="shared" si="1"/>
        <v>107586.03</v>
      </c>
      <c r="K211" s="41">
        <f t="shared" si="1"/>
        <v>31103.440000000002</v>
      </c>
      <c r="L211" s="41">
        <f t="shared" si="1"/>
        <v>11971624.390000001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>
        <f>3292.32+11103.92</f>
        <v>14396.24</v>
      </c>
      <c r="J250" s="18">
        <v>6180</v>
      </c>
      <c r="K250" s="18"/>
      <c r="L250" s="19">
        <f t="shared" ref="L250:L255" si="6">SUM(F250:K250)</f>
        <v>20576.239999999998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>
        <v>68383.039999999994</v>
      </c>
      <c r="I255" s="18"/>
      <c r="J255" s="18"/>
      <c r="K255" s="18"/>
      <c r="L255" s="19">
        <f t="shared" si="6"/>
        <v>68383.039999999994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68383.039999999994</v>
      </c>
      <c r="I256" s="41">
        <f t="shared" si="7"/>
        <v>14396.24</v>
      </c>
      <c r="J256" s="41">
        <f t="shared" si="7"/>
        <v>6180</v>
      </c>
      <c r="K256" s="41">
        <f t="shared" si="7"/>
        <v>0</v>
      </c>
      <c r="L256" s="41">
        <f>SUM(F256:K256)</f>
        <v>88959.28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6875459.0199999986</v>
      </c>
      <c r="G257" s="41">
        <f t="shared" si="8"/>
        <v>2625294.5300000003</v>
      </c>
      <c r="H257" s="41">
        <f t="shared" si="8"/>
        <v>1998563.17</v>
      </c>
      <c r="I257" s="41">
        <f t="shared" si="8"/>
        <v>416397.48</v>
      </c>
      <c r="J257" s="41">
        <f t="shared" si="8"/>
        <v>113766.03</v>
      </c>
      <c r="K257" s="41">
        <f t="shared" si="8"/>
        <v>31103.440000000002</v>
      </c>
      <c r="L257" s="41">
        <f t="shared" si="8"/>
        <v>12060583.67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118672.87</v>
      </c>
      <c r="L260" s="19">
        <f>SUM(F260:K260)</f>
        <v>118672.87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18125.63</v>
      </c>
      <c r="L261" s="19">
        <f>SUM(F261:K261)</f>
        <v>18125.63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100000</v>
      </c>
      <c r="L266" s="19">
        <f t="shared" si="9"/>
        <v>100000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236798.5</v>
      </c>
      <c r="L270" s="41">
        <f t="shared" si="9"/>
        <v>236798.5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6875459.0199999986</v>
      </c>
      <c r="G271" s="42">
        <f t="shared" si="11"/>
        <v>2625294.5300000003</v>
      </c>
      <c r="H271" s="42">
        <f t="shared" si="11"/>
        <v>1998563.17</v>
      </c>
      <c r="I271" s="42">
        <f t="shared" si="11"/>
        <v>416397.48</v>
      </c>
      <c r="J271" s="42">
        <f t="shared" si="11"/>
        <v>113766.03</v>
      </c>
      <c r="K271" s="42">
        <f t="shared" si="11"/>
        <v>267901.94</v>
      </c>
      <c r="L271" s="42">
        <f t="shared" si="11"/>
        <v>12297382.17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182741.86</v>
      </c>
      <c r="G276" s="18">
        <v>52065.51</v>
      </c>
      <c r="H276" s="18">
        <v>185.8</v>
      </c>
      <c r="I276" s="18">
        <f>2252.61+584.78+259.73-259</f>
        <v>2838.1200000000003</v>
      </c>
      <c r="J276" s="18"/>
      <c r="K276" s="18"/>
      <c r="L276" s="19">
        <f>SUM(F276:K276)</f>
        <v>237831.28999999998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119534.6</v>
      </c>
      <c r="G277" s="18">
        <v>36859.129999999997</v>
      </c>
      <c r="H277" s="18">
        <v>3754.99</v>
      </c>
      <c r="I277" s="18">
        <f>5509.63+92.41</f>
        <v>5602.04</v>
      </c>
      <c r="J277" s="18">
        <v>1776.44</v>
      </c>
      <c r="K277" s="18"/>
      <c r="L277" s="19">
        <f>SUM(F277:K277)</f>
        <v>167527.20000000001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>
        <f>14526.55+3026.6+17276</f>
        <v>34829.149999999994</v>
      </c>
      <c r="G279" s="18">
        <f>2009.6+1551.11+237.62+100+100</f>
        <v>3998.33</v>
      </c>
      <c r="H279" s="18">
        <f>2000+908.88</f>
        <v>2908.88</v>
      </c>
      <c r="I279" s="18">
        <f>2858.19+4138.07</f>
        <v>6996.26</v>
      </c>
      <c r="J279" s="18"/>
      <c r="K279" s="18"/>
      <c r="L279" s="19">
        <f>SUM(F279:K279)</f>
        <v>48732.619999999995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>
        <v>15138.83</v>
      </c>
      <c r="I282" s="18">
        <v>6305</v>
      </c>
      <c r="J282" s="18"/>
      <c r="K282" s="18"/>
      <c r="L282" s="19">
        <f t="shared" si="12"/>
        <v>21443.83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>
        <f>-2403.75+10240.37</f>
        <v>7836.6200000000008</v>
      </c>
      <c r="L283" s="19">
        <f t="shared" si="12"/>
        <v>7836.6200000000008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>
        <v>7100</v>
      </c>
      <c r="I287" s="18"/>
      <c r="J287" s="18"/>
      <c r="K287" s="18"/>
      <c r="L287" s="19">
        <f t="shared" si="12"/>
        <v>7100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337105.61</v>
      </c>
      <c r="G290" s="42">
        <f t="shared" si="13"/>
        <v>92922.97</v>
      </c>
      <c r="H290" s="42">
        <f t="shared" si="13"/>
        <v>29088.5</v>
      </c>
      <c r="I290" s="42">
        <f t="shared" si="13"/>
        <v>21741.42</v>
      </c>
      <c r="J290" s="42">
        <f t="shared" si="13"/>
        <v>1776.44</v>
      </c>
      <c r="K290" s="42">
        <f t="shared" si="13"/>
        <v>7836.6200000000008</v>
      </c>
      <c r="L290" s="41">
        <f t="shared" si="13"/>
        <v>490471.56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337105.61</v>
      </c>
      <c r="G338" s="41">
        <f t="shared" si="20"/>
        <v>92922.97</v>
      </c>
      <c r="H338" s="41">
        <f t="shared" si="20"/>
        <v>29088.5</v>
      </c>
      <c r="I338" s="41">
        <f t="shared" si="20"/>
        <v>21741.42</v>
      </c>
      <c r="J338" s="41">
        <f t="shared" si="20"/>
        <v>1776.44</v>
      </c>
      <c r="K338" s="41">
        <f t="shared" si="20"/>
        <v>7836.6200000000008</v>
      </c>
      <c r="L338" s="41">
        <f t="shared" si="20"/>
        <v>490471.56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337105.61</v>
      </c>
      <c r="G352" s="41">
        <f>G338</f>
        <v>92922.97</v>
      </c>
      <c r="H352" s="41">
        <f>H338</f>
        <v>29088.5</v>
      </c>
      <c r="I352" s="41">
        <f>I338</f>
        <v>21741.42</v>
      </c>
      <c r="J352" s="41">
        <f>J338</f>
        <v>1776.44</v>
      </c>
      <c r="K352" s="47">
        <f>K338+K351</f>
        <v>7836.6200000000008</v>
      </c>
      <c r="L352" s="41">
        <f>L338+L351</f>
        <v>490471.56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f>54282.26+114021.98+3250+6400.66</f>
        <v>177954.9</v>
      </c>
      <c r="G358" s="18">
        <f>738.27+363.03</f>
        <v>1101.3</v>
      </c>
      <c r="H358" s="18">
        <v>4519.04</v>
      </c>
      <c r="I358" s="18">
        <f>10535.26+143418.03+18915.62+1469.5+1631.52+25095.8-2812.48</f>
        <v>198253.24999999997</v>
      </c>
      <c r="J358" s="18">
        <v>927.36</v>
      </c>
      <c r="K358" s="18">
        <v>3900.93</v>
      </c>
      <c r="L358" s="13">
        <f>SUM(F358:K358)</f>
        <v>386656.77999999997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177954.9</v>
      </c>
      <c r="G362" s="47">
        <f t="shared" si="22"/>
        <v>1101.3</v>
      </c>
      <c r="H362" s="47">
        <f t="shared" si="22"/>
        <v>4519.04</v>
      </c>
      <c r="I362" s="47">
        <f t="shared" si="22"/>
        <v>198253.24999999997</v>
      </c>
      <c r="J362" s="47">
        <f t="shared" si="22"/>
        <v>927.36</v>
      </c>
      <c r="K362" s="47">
        <f t="shared" si="22"/>
        <v>3900.93</v>
      </c>
      <c r="L362" s="47">
        <f t="shared" si="22"/>
        <v>386656.77999999997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f>143418.03+18915.62+25095.8-2812.48</f>
        <v>184616.96999999997</v>
      </c>
      <c r="G367" s="18"/>
      <c r="H367" s="18"/>
      <c r="I367" s="56">
        <f>SUM(F367:H367)</f>
        <v>184616.96999999997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f>10535.26+1469.5+1631.52</f>
        <v>13636.28</v>
      </c>
      <c r="G368" s="63"/>
      <c r="H368" s="63"/>
      <c r="I368" s="56">
        <f>SUM(F368:H368)</f>
        <v>13636.28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198253.24999999997</v>
      </c>
      <c r="G369" s="47">
        <f>SUM(G367:G368)</f>
        <v>0</v>
      </c>
      <c r="H369" s="47">
        <f>SUM(H367:H368)</f>
        <v>0</v>
      </c>
      <c r="I369" s="47">
        <f>SUM(I367:I368)</f>
        <v>198253.24999999997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>
        <v>50000</v>
      </c>
      <c r="H396" s="18">
        <v>1684.63</v>
      </c>
      <c r="I396" s="18"/>
      <c r="J396" s="24" t="s">
        <v>288</v>
      </c>
      <c r="K396" s="24" t="s">
        <v>288</v>
      </c>
      <c r="L396" s="56">
        <f t="shared" si="26"/>
        <v>51684.63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>
        <v>50000</v>
      </c>
      <c r="H397" s="18">
        <v>814.99</v>
      </c>
      <c r="I397" s="18"/>
      <c r="J397" s="24" t="s">
        <v>288</v>
      </c>
      <c r="K397" s="24" t="s">
        <v>288</v>
      </c>
      <c r="L397" s="56">
        <f t="shared" si="26"/>
        <v>50814.99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100000</v>
      </c>
      <c r="H401" s="47">
        <f>SUM(H395:H400)</f>
        <v>2499.62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102499.62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100000</v>
      </c>
      <c r="H408" s="47">
        <f>H393+H401+H407</f>
        <v>2499.62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102499.62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>
        <v>33500</v>
      </c>
      <c r="L422" s="56">
        <f t="shared" si="29"/>
        <v>33500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>
        <v>73000</v>
      </c>
      <c r="L423" s="56">
        <f t="shared" si="29"/>
        <v>73000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106500</v>
      </c>
      <c r="L427" s="47">
        <f t="shared" si="30"/>
        <v>106500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106500</v>
      </c>
      <c r="L434" s="47">
        <f t="shared" si="32"/>
        <v>106500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>
        <v>79207.289999999994</v>
      </c>
      <c r="H440" s="18"/>
      <c r="I440" s="56">
        <f t="shared" si="33"/>
        <v>79207.289999999994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79207.289999999994</v>
      </c>
      <c r="H446" s="13">
        <f>SUM(H439:H445)</f>
        <v>0</v>
      </c>
      <c r="I446" s="13">
        <f>SUM(I439:I445)</f>
        <v>79207.289999999994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>
        <v>79207.289999999994</v>
      </c>
      <c r="H459" s="18"/>
      <c r="I459" s="56">
        <f t="shared" si="34"/>
        <v>79207.289999999994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79207.289999999994</v>
      </c>
      <c r="H460" s="83">
        <f>SUM(H454:H459)</f>
        <v>0</v>
      </c>
      <c r="I460" s="83">
        <f>SUM(I454:I459)</f>
        <v>79207.289999999994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79207.289999999994</v>
      </c>
      <c r="H461" s="42">
        <f>H452+H460</f>
        <v>0</v>
      </c>
      <c r="I461" s="42">
        <f>I452+I460</f>
        <v>79207.289999999994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720747.66</v>
      </c>
      <c r="G465" s="18">
        <v>29343.18</v>
      </c>
      <c r="H465" s="18">
        <v>0</v>
      </c>
      <c r="I465" s="18"/>
      <c r="J465" s="18">
        <v>83207.67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12291852.02</v>
      </c>
      <c r="G468" s="18">
        <v>391888.89</v>
      </c>
      <c r="H468" s="18">
        <v>490471.56</v>
      </c>
      <c r="I468" s="18"/>
      <c r="J468" s="18">
        <v>102499.62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12291852.02</v>
      </c>
      <c r="G470" s="53">
        <f>SUM(G468:G469)</f>
        <v>391888.89</v>
      </c>
      <c r="H470" s="53">
        <f>SUM(H468:H469)</f>
        <v>490471.56</v>
      </c>
      <c r="I470" s="53">
        <f>SUM(I468:I469)</f>
        <v>0</v>
      </c>
      <c r="J470" s="53">
        <f>SUM(J468:J469)</f>
        <v>102499.62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12297382.17</v>
      </c>
      <c r="G472" s="18">
        <v>386656.78</v>
      </c>
      <c r="H472" s="18">
        <v>490471.56</v>
      </c>
      <c r="I472" s="18"/>
      <c r="J472" s="18">
        <v>106500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12297382.17</v>
      </c>
      <c r="G474" s="53">
        <f>SUM(G472:G473)</f>
        <v>386656.78</v>
      </c>
      <c r="H474" s="53">
        <f>SUM(H472:H473)</f>
        <v>490471.56</v>
      </c>
      <c r="I474" s="53">
        <f>SUM(I472:I473)</f>
        <v>0</v>
      </c>
      <c r="J474" s="53">
        <f>SUM(J472:J473)</f>
        <v>106500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715217.50999999978</v>
      </c>
      <c r="G476" s="53">
        <f>(G465+G470)- G474</f>
        <v>34575.289999999979</v>
      </c>
      <c r="H476" s="53">
        <f>(H465+H470)- H474</f>
        <v>0</v>
      </c>
      <c r="I476" s="53">
        <f>(I465+I470)- I474</f>
        <v>0</v>
      </c>
      <c r="J476" s="53">
        <f>(J465+J470)- J474</f>
        <v>79207.289999999979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15</v>
      </c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913</v>
      </c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914</v>
      </c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1780093</v>
      </c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1.26</v>
      </c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1031747.27</v>
      </c>
      <c r="G495" s="18"/>
      <c r="H495" s="18"/>
      <c r="I495" s="18"/>
      <c r="J495" s="18"/>
      <c r="K495" s="53">
        <f>SUM(F495:J495)</f>
        <v>1031747.27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f>118672.87+18125.63</f>
        <v>136798.5</v>
      </c>
      <c r="G497" s="18"/>
      <c r="H497" s="18"/>
      <c r="I497" s="18"/>
      <c r="J497" s="18"/>
      <c r="K497" s="53">
        <f t="shared" si="35"/>
        <v>136798.5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1031747.29</v>
      </c>
      <c r="G498" s="204"/>
      <c r="H498" s="204"/>
      <c r="I498" s="204"/>
      <c r="J498" s="204"/>
      <c r="K498" s="205">
        <f t="shared" si="35"/>
        <v>1031747.29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54233.71</v>
      </c>
      <c r="G499" s="18"/>
      <c r="H499" s="18"/>
      <c r="I499" s="18"/>
      <c r="J499" s="18"/>
      <c r="K499" s="53">
        <f t="shared" si="35"/>
        <v>54233.71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1085981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1085981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118672.87</v>
      </c>
      <c r="G501" s="204"/>
      <c r="H501" s="204"/>
      <c r="I501" s="204"/>
      <c r="J501" s="204"/>
      <c r="K501" s="205">
        <f t="shared" si="35"/>
        <v>118672.87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12252.38</v>
      </c>
      <c r="G502" s="18"/>
      <c r="H502" s="18"/>
      <c r="I502" s="18"/>
      <c r="J502" s="18"/>
      <c r="K502" s="53">
        <f t="shared" si="35"/>
        <v>12252.38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130925.25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130925.25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f>614484.13+455521.64+75337.25</f>
        <v>1145343.02</v>
      </c>
      <c r="G521" s="18">
        <f>284123.53+39402.62</f>
        <v>323526.15000000002</v>
      </c>
      <c r="H521" s="18">
        <f>377550.23-12708.35+3754.99</f>
        <v>368596.87</v>
      </c>
      <c r="I521" s="18">
        <f>5361.92+5509.63</f>
        <v>10871.55</v>
      </c>
      <c r="J521" s="18">
        <f>2305.52+1776.44</f>
        <v>4081.96</v>
      </c>
      <c r="K521" s="18"/>
      <c r="L521" s="88">
        <f>SUM(F521:K521)</f>
        <v>1852419.55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1145343.02</v>
      </c>
      <c r="G524" s="108">
        <f t="shared" ref="G524:L524" si="36">SUM(G521:G523)</f>
        <v>323526.15000000002</v>
      </c>
      <c r="H524" s="108">
        <f t="shared" si="36"/>
        <v>368596.87</v>
      </c>
      <c r="I524" s="108">
        <f t="shared" si="36"/>
        <v>10871.55</v>
      </c>
      <c r="J524" s="108">
        <f t="shared" si="36"/>
        <v>4081.96</v>
      </c>
      <c r="K524" s="108">
        <f t="shared" si="36"/>
        <v>0</v>
      </c>
      <c r="L524" s="89">
        <f t="shared" si="36"/>
        <v>1852419.55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f>134914+153831.88+20549.24+23648.11</f>
        <v>332943.23</v>
      </c>
      <c r="G526" s="18">
        <f>62610.46+72943.91+1809.08+35050.06</f>
        <v>172413.50999999998</v>
      </c>
      <c r="H526" s="18"/>
      <c r="I526" s="18"/>
      <c r="J526" s="18"/>
      <c r="K526" s="18"/>
      <c r="L526" s="88">
        <f>SUM(F526:K526)</f>
        <v>505356.74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332943.23</v>
      </c>
      <c r="G529" s="89">
        <f t="shared" ref="G529:L529" si="37">SUM(G526:G528)</f>
        <v>172413.50999999998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505356.74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f>86168.07+49227.36</f>
        <v>135395.43</v>
      </c>
      <c r="G531" s="18">
        <f>38494.41+18624.53</f>
        <v>57118.94</v>
      </c>
      <c r="H531" s="18"/>
      <c r="I531" s="18"/>
      <c r="J531" s="18"/>
      <c r="K531" s="18">
        <v>1133</v>
      </c>
      <c r="L531" s="88">
        <f>SUM(F531:K531)</f>
        <v>193647.37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135395.43</v>
      </c>
      <c r="G534" s="89">
        <f t="shared" ref="G534:L534" si="38">SUM(G531:G533)</f>
        <v>57118.94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1133</v>
      </c>
      <c r="L534" s="89">
        <f t="shared" si="38"/>
        <v>193647.37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v>12708.35</v>
      </c>
      <c r="I536" s="18"/>
      <c r="J536" s="18"/>
      <c r="K536" s="18"/>
      <c r="L536" s="88">
        <f>SUM(F536:K536)</f>
        <v>12708.35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12708.35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12708.35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164720.73000000001</v>
      </c>
      <c r="I541" s="18"/>
      <c r="J541" s="18"/>
      <c r="K541" s="18"/>
      <c r="L541" s="88">
        <f>SUM(F541:K541)</f>
        <v>164720.73000000001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164720.73000000001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164720.73000000001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1613681.68</v>
      </c>
      <c r="G545" s="89">
        <f t="shared" ref="G545:L545" si="41">G524+G529+G534+G539+G544</f>
        <v>553058.60000000009</v>
      </c>
      <c r="H545" s="89">
        <f t="shared" si="41"/>
        <v>546025.94999999995</v>
      </c>
      <c r="I545" s="89">
        <f t="shared" si="41"/>
        <v>10871.55</v>
      </c>
      <c r="J545" s="89">
        <f t="shared" si="41"/>
        <v>4081.96</v>
      </c>
      <c r="K545" s="89">
        <f t="shared" si="41"/>
        <v>1133</v>
      </c>
      <c r="L545" s="89">
        <f t="shared" si="41"/>
        <v>2728852.74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1852419.55</v>
      </c>
      <c r="G549" s="87">
        <f>L526</f>
        <v>505356.74</v>
      </c>
      <c r="H549" s="87">
        <f>L531</f>
        <v>193647.37</v>
      </c>
      <c r="I549" s="87">
        <f>L536</f>
        <v>12708.35</v>
      </c>
      <c r="J549" s="87">
        <f>L541</f>
        <v>164720.73000000001</v>
      </c>
      <c r="K549" s="87">
        <f>SUM(F549:J549)</f>
        <v>2728852.74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1852419.55</v>
      </c>
      <c r="G552" s="89">
        <f t="shared" si="42"/>
        <v>505356.74</v>
      </c>
      <c r="H552" s="89">
        <f t="shared" si="42"/>
        <v>193647.37</v>
      </c>
      <c r="I552" s="89">
        <f t="shared" si="42"/>
        <v>12708.35</v>
      </c>
      <c r="J552" s="89">
        <f t="shared" si="42"/>
        <v>164720.73000000001</v>
      </c>
      <c r="K552" s="89">
        <f t="shared" si="42"/>
        <v>2728852.74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123668.64</v>
      </c>
      <c r="G582" s="18"/>
      <c r="H582" s="18"/>
      <c r="I582" s="87">
        <f t="shared" si="47"/>
        <v>123668.64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558692.49</v>
      </c>
      <c r="I591" s="18"/>
      <c r="J591" s="18"/>
      <c r="K591" s="104">
        <f t="shared" ref="K591:K597" si="48">SUM(H591:J591)</f>
        <v>558692.49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164720.73000000001</v>
      </c>
      <c r="I592" s="18"/>
      <c r="J592" s="18"/>
      <c r="K592" s="104">
        <f t="shared" si="48"/>
        <v>164720.73000000001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>
        <v>8330.2099999999991</v>
      </c>
      <c r="I594" s="18"/>
      <c r="J594" s="18"/>
      <c r="K594" s="104">
        <f t="shared" si="48"/>
        <v>8330.2099999999991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8898.68</v>
      </c>
      <c r="I595" s="18"/>
      <c r="J595" s="18"/>
      <c r="K595" s="104">
        <f t="shared" si="48"/>
        <v>8898.68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>
        <v>40790.71</v>
      </c>
      <c r="I597" s="18"/>
      <c r="J597" s="18"/>
      <c r="K597" s="104">
        <f t="shared" si="48"/>
        <v>40790.71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781432.82</v>
      </c>
      <c r="I598" s="108">
        <f>SUM(I591:I597)</f>
        <v>0</v>
      </c>
      <c r="J598" s="108">
        <f>SUM(J591:J597)</f>
        <v>0</v>
      </c>
      <c r="K598" s="108">
        <f>SUM(K591:K597)</f>
        <v>781432.82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>
        <v>5416.9</v>
      </c>
      <c r="I603" s="18"/>
      <c r="J603" s="18"/>
      <c r="K603" s="104">
        <f>SUM(H603:J603)</f>
        <v>5416.9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f>1776.44+101723.97+445.16+6180</f>
        <v>110125.57</v>
      </c>
      <c r="I604" s="18"/>
      <c r="J604" s="18"/>
      <c r="K604" s="104">
        <f>SUM(H604:J604)</f>
        <v>110125.57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115542.47</v>
      </c>
      <c r="I605" s="108">
        <f>SUM(I602:I604)</f>
        <v>0</v>
      </c>
      <c r="J605" s="108">
        <f>SUM(J602:J604)</f>
        <v>0</v>
      </c>
      <c r="K605" s="108">
        <f>SUM(K602:K604)</f>
        <v>115542.47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v>20640.599999999999</v>
      </c>
      <c r="G611" s="18"/>
      <c r="H611" s="18"/>
      <c r="I611" s="18"/>
      <c r="J611" s="18"/>
      <c r="K611" s="18"/>
      <c r="L611" s="88">
        <f>SUM(F611:K611)</f>
        <v>20640.599999999999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20640.599999999999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20640.599999999999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1837059.94</v>
      </c>
      <c r="H617" s="109">
        <f>SUM(F52)</f>
        <v>1837059.9400000002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38158.89</v>
      </c>
      <c r="H618" s="109">
        <f>SUM(G52)</f>
        <v>38158.89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71896.27</v>
      </c>
      <c r="H619" s="109">
        <f>SUM(H52)</f>
        <v>71896.27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79207.289999999994</v>
      </c>
      <c r="H621" s="109">
        <f>SUM(J52)</f>
        <v>79207.289999999994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715217.51</v>
      </c>
      <c r="H622" s="109">
        <f>F476</f>
        <v>715217.50999999978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34575.29</v>
      </c>
      <c r="H623" s="109">
        <f>G476</f>
        <v>34575.289999999979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79207.289999999994</v>
      </c>
      <c r="H626" s="109">
        <f>J476</f>
        <v>79207.289999999979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12291852.02</v>
      </c>
      <c r="H627" s="104">
        <f>SUM(F468)</f>
        <v>12291852.02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391888.89000000007</v>
      </c>
      <c r="H628" s="104">
        <f>SUM(G468)</f>
        <v>391888.89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490471.56000000006</v>
      </c>
      <c r="H629" s="104">
        <f>SUM(H468)</f>
        <v>490471.56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102499.62</v>
      </c>
      <c r="H631" s="104">
        <f>SUM(J468)</f>
        <v>102499.62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12297382.17</v>
      </c>
      <c r="H632" s="104">
        <f>SUM(F472)</f>
        <v>12297382.17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490471.56</v>
      </c>
      <c r="H633" s="104">
        <f>SUM(H472)</f>
        <v>490471.56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198253.24999999997</v>
      </c>
      <c r="H634" s="104">
        <f>I369</f>
        <v>198253.24999999997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386656.77999999997</v>
      </c>
      <c r="H635" s="104">
        <f>SUM(G472)</f>
        <v>386656.78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102499.62</v>
      </c>
      <c r="H637" s="164">
        <f>SUM(J468)</f>
        <v>102499.62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106500</v>
      </c>
      <c r="H638" s="164">
        <f>SUM(J472)</f>
        <v>106500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79207.289999999994</v>
      </c>
      <c r="H640" s="104">
        <f>SUM(G461)</f>
        <v>79207.289999999994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79207.289999999994</v>
      </c>
      <c r="H642" s="104">
        <f>SUM(I461)</f>
        <v>79207.289999999994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2499.62</v>
      </c>
      <c r="H644" s="104">
        <f>H408</f>
        <v>2499.62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100000</v>
      </c>
      <c r="H645" s="104">
        <f>G408</f>
        <v>100000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102499.62</v>
      </c>
      <c r="H646" s="104">
        <f>L408</f>
        <v>102499.62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781432.82</v>
      </c>
      <c r="H647" s="104">
        <f>L208+L226+L244</f>
        <v>781432.82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115542.47</v>
      </c>
      <c r="H648" s="104">
        <f>(J257+J338)-(J255+J336)</f>
        <v>115542.47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781432.82</v>
      </c>
      <c r="H649" s="104">
        <f>H598</f>
        <v>781432.82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0</v>
      </c>
      <c r="H651" s="104">
        <f>J598</f>
        <v>0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100000</v>
      </c>
      <c r="H655" s="104">
        <f>K266+K347</f>
        <v>100000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12848752.73</v>
      </c>
      <c r="G660" s="19">
        <f>(L229+L309+L359)</f>
        <v>0</v>
      </c>
      <c r="H660" s="19">
        <f>(L247+L328+L360)</f>
        <v>0</v>
      </c>
      <c r="I660" s="19">
        <f>SUM(F660:H660)</f>
        <v>12848752.73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92694.19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92694.19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788532.82</v>
      </c>
      <c r="G662" s="19">
        <f>(L226+L306)-(J226+J306)</f>
        <v>0</v>
      </c>
      <c r="H662" s="19">
        <f>(L244+L325)-(J244+J325)</f>
        <v>0</v>
      </c>
      <c r="I662" s="19">
        <f>SUM(F662:H662)</f>
        <v>788532.82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259851.71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259851.71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11707674.01</v>
      </c>
      <c r="G664" s="19">
        <f>G660-SUM(G661:G663)</f>
        <v>0</v>
      </c>
      <c r="H664" s="19">
        <f>H660-SUM(H661:H663)</f>
        <v>0</v>
      </c>
      <c r="I664" s="19">
        <f>I660-SUM(I661:I663)</f>
        <v>11707674.01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686.38</v>
      </c>
      <c r="G665" s="248"/>
      <c r="H665" s="248"/>
      <c r="I665" s="19">
        <f>SUM(F665:H665)</f>
        <v>686.38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17057.13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17057.13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17057.13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17057.13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31" sqref="B3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SEABROOK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4058880.4699999997</v>
      </c>
      <c r="C9" s="229">
        <f>'DOE25'!G197+'DOE25'!G215+'DOE25'!G233+'DOE25'!G276+'DOE25'!G295+'DOE25'!G314</f>
        <v>1592856.3</v>
      </c>
    </row>
    <row r="10" spans="1:3" x14ac:dyDescent="0.2">
      <c r="A10" t="s">
        <v>778</v>
      </c>
      <c r="B10" s="240">
        <f>1898492.37+1536625.4+77682</f>
        <v>3512799.77</v>
      </c>
      <c r="C10" s="240">
        <f>1503149.24+19694.22+739.7+105.98+70.64+355.5+315.51+396.64+5379.57+16237.53+0.02</f>
        <v>1546444.5499999998</v>
      </c>
    </row>
    <row r="11" spans="1:3" x14ac:dyDescent="0.2">
      <c r="A11" t="s">
        <v>779</v>
      </c>
      <c r="B11" s="240">
        <f>141671.6+92083.04+92268.59+22856.25+82375.72</f>
        <v>431255.19999999995</v>
      </c>
      <c r="C11" s="240">
        <f>30178.08+6301.74+315.51+396.64+21</f>
        <v>37212.97</v>
      </c>
    </row>
    <row r="12" spans="1:3" x14ac:dyDescent="0.2">
      <c r="A12" t="s">
        <v>780</v>
      </c>
      <c r="B12" s="240">
        <f>66230.36+25911+22684.14</f>
        <v>114825.5</v>
      </c>
      <c r="C12" s="240">
        <f>7463.45+1735.33</f>
        <v>9198.7799999999988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4058880.4699999997</v>
      </c>
      <c r="C13" s="231">
        <f>SUM(C10:C12)</f>
        <v>1592856.2999999998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1459849.8</v>
      </c>
      <c r="C18" s="229">
        <f>'DOE25'!G198+'DOE25'!G216+'DOE25'!G234+'DOE25'!G277+'DOE25'!G296+'DOE25'!G315</f>
        <v>480114.69</v>
      </c>
    </row>
    <row r="19" spans="1:3" x14ac:dyDescent="0.2">
      <c r="A19" t="s">
        <v>778</v>
      </c>
      <c r="B19" s="240">
        <v>614484.13</v>
      </c>
      <c r="C19" s="240">
        <f>284123.53</f>
        <v>284123.53000000003</v>
      </c>
    </row>
    <row r="20" spans="1:3" x14ac:dyDescent="0.2">
      <c r="A20" t="s">
        <v>779</v>
      </c>
      <c r="B20" s="240">
        <f>455521.64+75337.25+20549.24</f>
        <v>551408.13</v>
      </c>
      <c r="C20" s="240">
        <f>39402.62+35050.06</f>
        <v>74452.679999999993</v>
      </c>
    </row>
    <row r="21" spans="1:3" x14ac:dyDescent="0.2">
      <c r="A21" t="s">
        <v>780</v>
      </c>
      <c r="B21" s="240">
        <f>86168.07+134914+49227.36+23648.11</f>
        <v>293957.53999999998</v>
      </c>
      <c r="C21" s="240">
        <f>38494.41+18624.53+62610.46+1809.08</f>
        <v>121538.48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1459849.8</v>
      </c>
      <c r="C22" s="231">
        <f>SUM(C19:C21)</f>
        <v>480114.69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92983.75</v>
      </c>
      <c r="C36" s="235">
        <f>'DOE25'!G200+'DOE25'!G218+'DOE25'!G236+'DOE25'!G279+'DOE25'!G298+'DOE25'!G317</f>
        <v>8708.85</v>
      </c>
    </row>
    <row r="37" spans="1:3" x14ac:dyDescent="0.2">
      <c r="A37" t="s">
        <v>778</v>
      </c>
      <c r="B37" s="240">
        <f>20640.6+11151.19</f>
        <v>31791.79</v>
      </c>
      <c r="C37" s="240">
        <f>1671.89+853.12+783.52+50.84+63.91</f>
        <v>3423.28</v>
      </c>
    </row>
    <row r="38" spans="1:3" x14ac:dyDescent="0.2">
      <c r="A38" t="s">
        <v>779</v>
      </c>
      <c r="B38" s="240">
        <v>3375.36</v>
      </c>
      <c r="C38" s="240">
        <f>258.21</f>
        <v>258.20999999999998</v>
      </c>
    </row>
    <row r="39" spans="1:3" x14ac:dyDescent="0.2">
      <c r="A39" t="s">
        <v>780</v>
      </c>
      <c r="B39" s="240">
        <f>37514+3026.6+17276</f>
        <v>57816.6</v>
      </c>
      <c r="C39" s="240">
        <f>3038.63+1551.11+237.62+100+100</f>
        <v>5027.3599999999997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92983.75</v>
      </c>
      <c r="C40" s="231">
        <f>SUM(C37:C39)</f>
        <v>8708.85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SEABROOK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7824582.7400000002</v>
      </c>
      <c r="D5" s="20">
        <f>SUM('DOE25'!L197:L200)+SUM('DOE25'!L215:L218)+SUM('DOE25'!L233:L236)-F5-G5</f>
        <v>7795541.4500000002</v>
      </c>
      <c r="E5" s="243"/>
      <c r="F5" s="255">
        <f>SUM('DOE25'!J197:J200)+SUM('DOE25'!J215:J218)+SUM('DOE25'!J233:J236)</f>
        <v>16870.66</v>
      </c>
      <c r="G5" s="53">
        <f>SUM('DOE25'!K197:K200)+SUM('DOE25'!K215:K218)+SUM('DOE25'!K233:K236)</f>
        <v>12170.63</v>
      </c>
      <c r="H5" s="259"/>
    </row>
    <row r="6" spans="1:9" x14ac:dyDescent="0.2">
      <c r="A6" s="32">
        <v>2100</v>
      </c>
      <c r="B6" t="s">
        <v>800</v>
      </c>
      <c r="C6" s="245">
        <f t="shared" si="0"/>
        <v>618773.46</v>
      </c>
      <c r="D6" s="20">
        <f>'DOE25'!L202+'DOE25'!L220+'DOE25'!L238-F6-G6</f>
        <v>618773.46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651023.32999999996</v>
      </c>
      <c r="D7" s="20">
        <f>'DOE25'!L203+'DOE25'!L221+'DOE25'!L239-F7-G7</f>
        <v>593499.5</v>
      </c>
      <c r="E7" s="243"/>
      <c r="F7" s="255">
        <f>'DOE25'!J203+'DOE25'!J221+'DOE25'!J239</f>
        <v>57523.83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275832.19</v>
      </c>
      <c r="D8" s="243"/>
      <c r="E8" s="20">
        <f>'DOE25'!L204+'DOE25'!L222+'DOE25'!L240-F8-G8-D9-D11</f>
        <v>269197.11</v>
      </c>
      <c r="F8" s="255">
        <f>'DOE25'!J204+'DOE25'!J222+'DOE25'!J240</f>
        <v>0</v>
      </c>
      <c r="G8" s="53">
        <f>'DOE25'!K204+'DOE25'!K222+'DOE25'!K240</f>
        <v>6635.08</v>
      </c>
      <c r="H8" s="259"/>
    </row>
    <row r="9" spans="1:9" x14ac:dyDescent="0.2">
      <c r="A9" s="32">
        <v>2310</v>
      </c>
      <c r="B9" t="s">
        <v>817</v>
      </c>
      <c r="C9" s="245">
        <f t="shared" si="0"/>
        <v>56386.89</v>
      </c>
      <c r="D9" s="244">
        <v>56386.89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8650</v>
      </c>
      <c r="D10" s="243"/>
      <c r="E10" s="244">
        <v>8650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117932.43</v>
      </c>
      <c r="D11" s="244">
        <v>117932.43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666696.95999999996</v>
      </c>
      <c r="D12" s="20">
        <f>'DOE25'!L205+'DOE25'!L223+'DOE25'!L241-F12-G12</f>
        <v>663773.96</v>
      </c>
      <c r="E12" s="243"/>
      <c r="F12" s="255">
        <f>'DOE25'!J205+'DOE25'!J223+'DOE25'!J241</f>
        <v>0</v>
      </c>
      <c r="G12" s="53">
        <f>'DOE25'!K205+'DOE25'!K223+'DOE25'!K241</f>
        <v>2923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969588.84</v>
      </c>
      <c r="D14" s="20">
        <f>'DOE25'!L207+'DOE25'!L225+'DOE25'!L243-F14-G14</f>
        <v>936397.29999999993</v>
      </c>
      <c r="E14" s="243"/>
      <c r="F14" s="255">
        <f>'DOE25'!J207+'DOE25'!J225+'DOE25'!J243</f>
        <v>33191.54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781432.82</v>
      </c>
      <c r="D15" s="20">
        <f>'DOE25'!L208+'DOE25'!L226+'DOE25'!L244-F15-G15</f>
        <v>781432.82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9374.7300000000014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9374.7300000000014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68383.039999999994</v>
      </c>
      <c r="D22" s="243"/>
      <c r="E22" s="243"/>
      <c r="F22" s="255">
        <f>'DOE25'!L255+'DOE25'!L336</f>
        <v>68383.039999999994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136798.5</v>
      </c>
      <c r="D25" s="243"/>
      <c r="E25" s="243"/>
      <c r="F25" s="258"/>
      <c r="G25" s="256"/>
      <c r="H25" s="257">
        <f>'DOE25'!L260+'DOE25'!L261+'DOE25'!L341+'DOE25'!L342</f>
        <v>136798.5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202039.81</v>
      </c>
      <c r="D29" s="20">
        <f>'DOE25'!L358+'DOE25'!L359+'DOE25'!L360-'DOE25'!I367-F29-G29</f>
        <v>197211.52000000002</v>
      </c>
      <c r="E29" s="243"/>
      <c r="F29" s="255">
        <f>'DOE25'!J358+'DOE25'!J359+'DOE25'!J360</f>
        <v>927.36</v>
      </c>
      <c r="G29" s="53">
        <f>'DOE25'!K358+'DOE25'!K359+'DOE25'!K360</f>
        <v>3900.93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490471.56</v>
      </c>
      <c r="D31" s="20">
        <f>'DOE25'!L290+'DOE25'!L309+'DOE25'!L328+'DOE25'!L333+'DOE25'!L334+'DOE25'!L335-F31-G31</f>
        <v>480858.5</v>
      </c>
      <c r="E31" s="243"/>
      <c r="F31" s="255">
        <f>'DOE25'!J290+'DOE25'!J309+'DOE25'!J328+'DOE25'!J333+'DOE25'!J334+'DOE25'!J335</f>
        <v>1776.44</v>
      </c>
      <c r="G31" s="53">
        <f>'DOE25'!K290+'DOE25'!K309+'DOE25'!K328+'DOE25'!K333+'DOE25'!K334+'DOE25'!K335</f>
        <v>7836.6200000000008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12241807.830000002</v>
      </c>
      <c r="E33" s="246">
        <f>SUM(E5:E31)</f>
        <v>277847.11</v>
      </c>
      <c r="F33" s="246">
        <f>SUM(F5:F31)</f>
        <v>178672.87</v>
      </c>
      <c r="G33" s="246">
        <f>SUM(G5:G31)</f>
        <v>42840.990000000005</v>
      </c>
      <c r="H33" s="246">
        <f>SUM(H5:H31)</f>
        <v>136798.5</v>
      </c>
    </row>
    <row r="35" spans="2:8" ht="12" thickBot="1" x14ac:dyDescent="0.25">
      <c r="B35" s="253" t="s">
        <v>846</v>
      </c>
      <c r="D35" s="254">
        <f>E33</f>
        <v>277847.11</v>
      </c>
      <c r="E35" s="249"/>
    </row>
    <row r="36" spans="2:8" ht="12" thickTop="1" x14ac:dyDescent="0.2">
      <c r="B36" t="s">
        <v>814</v>
      </c>
      <c r="D36" s="20">
        <f>D33</f>
        <v>12241807.830000002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SEABROOK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1726765.7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458.44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79207.289999999994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75353.87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28405.35</v>
      </c>
      <c r="D12" s="95">
        <f>'DOE25'!G13</f>
        <v>17972.259999999998</v>
      </c>
      <c r="E12" s="95">
        <f>'DOE25'!H13</f>
        <v>71896.27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4366.58</v>
      </c>
      <c r="D13" s="95">
        <f>'DOE25'!G14</f>
        <v>13017.85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7168.78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1710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1837059.94</v>
      </c>
      <c r="D18" s="41">
        <f>SUM(D8:D17)</f>
        <v>38158.89</v>
      </c>
      <c r="E18" s="41">
        <f>SUM(E8:E17)</f>
        <v>71896.27</v>
      </c>
      <c r="F18" s="41">
        <f>SUM(F8:F17)</f>
        <v>0</v>
      </c>
      <c r="G18" s="41">
        <f>SUM(G8:G17)</f>
        <v>79207.289999999994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3457.6</v>
      </c>
      <c r="E21" s="95">
        <f>'DOE25'!H22</f>
        <v>71896.27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51071.02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12303.7</v>
      </c>
      <c r="D27" s="95">
        <f>'DOE25'!G28</f>
        <v>126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30323.4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1028144.31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1121842.4300000002</v>
      </c>
      <c r="D31" s="41">
        <f>SUM(D21:D30)</f>
        <v>3583.6</v>
      </c>
      <c r="E31" s="41">
        <f>SUM(E21:E30)</f>
        <v>71896.27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7168.78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1710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27406.51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100000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359693.01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79207.289999999994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95206.88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158607.62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715217.51</v>
      </c>
      <c r="D50" s="41">
        <f>SUM(D34:D49)</f>
        <v>34575.29</v>
      </c>
      <c r="E50" s="41">
        <f>SUM(E34:E49)</f>
        <v>0</v>
      </c>
      <c r="F50" s="41">
        <f>SUM(F34:F49)</f>
        <v>0</v>
      </c>
      <c r="G50" s="41">
        <f>SUM(G34:G49)</f>
        <v>79207.289999999994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1837059.9400000002</v>
      </c>
      <c r="D51" s="41">
        <f>D50+D31</f>
        <v>38158.89</v>
      </c>
      <c r="E51" s="41">
        <f>E50+E31</f>
        <v>71896.27</v>
      </c>
      <c r="F51" s="41">
        <f>F50+F31</f>
        <v>0</v>
      </c>
      <c r="G51" s="41">
        <f>G50+G31</f>
        <v>79207.289999999994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9019617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1244.3699999999999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2499.62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92694.19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2547.9700000000003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3792.34</v>
      </c>
      <c r="D62" s="130">
        <f>SUM(D57:D61)</f>
        <v>92694.19</v>
      </c>
      <c r="E62" s="130">
        <f>SUM(E57:E61)</f>
        <v>0</v>
      </c>
      <c r="F62" s="130">
        <f>SUM(F57:F61)</f>
        <v>0</v>
      </c>
      <c r="G62" s="130">
        <f>SUM(G57:G61)</f>
        <v>2499.62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9023409.3399999999</v>
      </c>
      <c r="D63" s="22">
        <f>D56+D62</f>
        <v>92694.19</v>
      </c>
      <c r="E63" s="22">
        <f>E56+E62</f>
        <v>0</v>
      </c>
      <c r="F63" s="22">
        <f>F56+F62</f>
        <v>0</v>
      </c>
      <c r="G63" s="22">
        <f>G56+G62</f>
        <v>2499.62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670827.41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2314568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2985395.41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37601.86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64508.15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5620.52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102110.01000000001</v>
      </c>
      <c r="D78" s="130">
        <f>SUM(D72:D77)</f>
        <v>5620.52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3087505.42</v>
      </c>
      <c r="D81" s="130">
        <f>SUM(D79:D80)+D78+D70</f>
        <v>5620.52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74437.259999999995</v>
      </c>
      <c r="D88" s="95">
        <f>SUM('DOE25'!G153:G161)</f>
        <v>293574.18000000005</v>
      </c>
      <c r="E88" s="95">
        <f>SUM('DOE25'!H153:H161)</f>
        <v>490471.56000000006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74437.259999999995</v>
      </c>
      <c r="D91" s="131">
        <f>SUM(D85:D90)</f>
        <v>293574.18000000005</v>
      </c>
      <c r="E91" s="131">
        <f>SUM(E85:E90)</f>
        <v>490471.56000000006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100000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106500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106500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100000</v>
      </c>
    </row>
    <row r="104" spans="1:7" ht="12.75" thickTop="1" thickBot="1" x14ac:dyDescent="0.25">
      <c r="A104" s="33" t="s">
        <v>764</v>
      </c>
      <c r="C104" s="86">
        <f>C63+C81+C91+C103</f>
        <v>12291852.02</v>
      </c>
      <c r="D104" s="86">
        <f>D63+D81+D91+D103</f>
        <v>391888.89000000007</v>
      </c>
      <c r="E104" s="86">
        <f>E63+E81+E91+E103</f>
        <v>490471.56000000006</v>
      </c>
      <c r="F104" s="86">
        <f>F63+F81+F91+F103</f>
        <v>0</v>
      </c>
      <c r="G104" s="86">
        <f>G63+G81+G103</f>
        <v>102499.62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5567832.7199999997</v>
      </c>
      <c r="D109" s="24" t="s">
        <v>288</v>
      </c>
      <c r="E109" s="95">
        <f>('DOE25'!L276)+('DOE25'!L295)+('DOE25'!L314)</f>
        <v>237831.28999999998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2169921.4300000002</v>
      </c>
      <c r="D110" s="24" t="s">
        <v>288</v>
      </c>
      <c r="E110" s="95">
        <f>('DOE25'!L277)+('DOE25'!L296)+('DOE25'!L315)</f>
        <v>167527.20000000001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86828.59</v>
      </c>
      <c r="D112" s="24" t="s">
        <v>288</v>
      </c>
      <c r="E112" s="95">
        <f>+('DOE25'!L279)+('DOE25'!L298)+('DOE25'!L317)</f>
        <v>48732.619999999995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20576.239999999998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7845158.9800000004</v>
      </c>
      <c r="D115" s="86">
        <f>SUM(D109:D114)</f>
        <v>0</v>
      </c>
      <c r="E115" s="86">
        <f>SUM(E109:E114)</f>
        <v>454091.11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618773.46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651023.32999999996</v>
      </c>
      <c r="D119" s="24" t="s">
        <v>288</v>
      </c>
      <c r="E119" s="95">
        <f>+('DOE25'!L282)+('DOE25'!L301)+('DOE25'!L320)</f>
        <v>21443.83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450151.51</v>
      </c>
      <c r="D120" s="24" t="s">
        <v>288</v>
      </c>
      <c r="E120" s="95">
        <f>+('DOE25'!L283)+('DOE25'!L302)+('DOE25'!L321)</f>
        <v>7836.6200000000008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666696.95999999996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969588.84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781432.82</v>
      </c>
      <c r="D124" s="24" t="s">
        <v>288</v>
      </c>
      <c r="E124" s="95">
        <f>+('DOE25'!L287)+('DOE25'!L306)+('DOE25'!L325)</f>
        <v>7100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9374.7300000000014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386656.77999999997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4147041.6499999994</v>
      </c>
      <c r="D128" s="86">
        <f>SUM(D118:D127)</f>
        <v>386656.77999999997</v>
      </c>
      <c r="E128" s="86">
        <f>SUM(E118:E127)</f>
        <v>36380.450000000004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68383.039999999994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118672.87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18125.63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106500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102499.62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-2499.6199999999953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305181.53999999998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106500</v>
      </c>
    </row>
    <row r="145" spans="1:9" ht="12.75" thickTop="1" thickBot="1" x14ac:dyDescent="0.25">
      <c r="A145" s="33" t="s">
        <v>244</v>
      </c>
      <c r="C145" s="86">
        <f>(C115+C128+C144)</f>
        <v>12297382.169999998</v>
      </c>
      <c r="D145" s="86">
        <f>(D115+D128+D144)</f>
        <v>386656.77999999997</v>
      </c>
      <c r="E145" s="86">
        <f>(E115+E128+E144)</f>
        <v>490471.56</v>
      </c>
      <c r="F145" s="86">
        <f>(F115+F128+F144)</f>
        <v>0</v>
      </c>
      <c r="G145" s="86">
        <f>(G115+G128+G144)</f>
        <v>106500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15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April 2010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April 2024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1780093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1.26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1031747.27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1031747.27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136798.5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136798.5</v>
      </c>
    </row>
    <row r="159" spans="1:9" x14ac:dyDescent="0.2">
      <c r="A159" s="22" t="s">
        <v>35</v>
      </c>
      <c r="B159" s="137">
        <f>'DOE25'!F498</f>
        <v>1031747.29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1031747.29</v>
      </c>
    </row>
    <row r="160" spans="1:9" x14ac:dyDescent="0.2">
      <c r="A160" s="22" t="s">
        <v>36</v>
      </c>
      <c r="B160" s="137">
        <f>'DOE25'!F499</f>
        <v>54233.71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54233.71</v>
      </c>
    </row>
    <row r="161" spans="1:7" x14ac:dyDescent="0.2">
      <c r="A161" s="22" t="s">
        <v>37</v>
      </c>
      <c r="B161" s="137">
        <f>'DOE25'!F500</f>
        <v>1085981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1085981</v>
      </c>
    </row>
    <row r="162" spans="1:7" x14ac:dyDescent="0.2">
      <c r="A162" s="22" t="s">
        <v>38</v>
      </c>
      <c r="B162" s="137">
        <f>'DOE25'!F501</f>
        <v>118672.87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118672.87</v>
      </c>
    </row>
    <row r="163" spans="1:7" x14ac:dyDescent="0.2">
      <c r="A163" s="22" t="s">
        <v>39</v>
      </c>
      <c r="B163" s="137">
        <f>'DOE25'!F502</f>
        <v>12252.38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12252.38</v>
      </c>
    </row>
    <row r="164" spans="1:7" x14ac:dyDescent="0.2">
      <c r="A164" s="22" t="s">
        <v>246</v>
      </c>
      <c r="B164" s="137">
        <f>'DOE25'!F503</f>
        <v>130925.25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130925.25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SEABROOK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17057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17057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5805664</v>
      </c>
      <c r="D10" s="182">
        <f>ROUND((C10/$C$28)*100,1)</f>
        <v>45.4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2337449</v>
      </c>
      <c r="D11" s="182">
        <f>ROUND((C11/$C$28)*100,1)</f>
        <v>18.3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135561</v>
      </c>
      <c r="D13" s="182">
        <f>ROUND((C13/$C$28)*100,1)</f>
        <v>1.1000000000000001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618773</v>
      </c>
      <c r="D15" s="182">
        <f t="shared" ref="D15:D27" si="0">ROUND((C15/$C$28)*100,1)</f>
        <v>4.8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672467</v>
      </c>
      <c r="D16" s="182">
        <f t="shared" si="0"/>
        <v>5.3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467363</v>
      </c>
      <c r="D17" s="182">
        <f t="shared" si="0"/>
        <v>3.7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666697</v>
      </c>
      <c r="D18" s="182">
        <f t="shared" si="0"/>
        <v>5.2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969589</v>
      </c>
      <c r="D20" s="182">
        <f t="shared" si="0"/>
        <v>7.6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788533</v>
      </c>
      <c r="D21" s="182">
        <f t="shared" si="0"/>
        <v>6.2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20576</v>
      </c>
      <c r="D23" s="182">
        <f t="shared" si="0"/>
        <v>0.2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18126</v>
      </c>
      <c r="D25" s="182">
        <f t="shared" si="0"/>
        <v>0.1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293962.81</v>
      </c>
      <c r="D27" s="182">
        <f t="shared" si="0"/>
        <v>2.2999999999999998</v>
      </c>
    </row>
    <row r="28" spans="1:4" x14ac:dyDescent="0.2">
      <c r="B28" s="187" t="s">
        <v>722</v>
      </c>
      <c r="C28" s="180">
        <f>SUM(C10:C27)</f>
        <v>12794760.810000001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68383</v>
      </c>
    </row>
    <row r="30" spans="1:4" x14ac:dyDescent="0.2">
      <c r="B30" s="187" t="s">
        <v>728</v>
      </c>
      <c r="C30" s="180">
        <f>SUM(C28:C29)</f>
        <v>12863143.810000001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118673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9019617</v>
      </c>
      <c r="D35" s="182">
        <f t="shared" ref="D35:D40" si="1">ROUND((C35/$C$41)*100,1)</f>
        <v>69.5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6291.9599999990314</v>
      </c>
      <c r="D36" s="182">
        <f t="shared" si="1"/>
        <v>0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2985395</v>
      </c>
      <c r="D37" s="182">
        <f t="shared" si="1"/>
        <v>23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107731</v>
      </c>
      <c r="D38" s="182">
        <f t="shared" si="1"/>
        <v>0.8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858483</v>
      </c>
      <c r="D39" s="182">
        <f t="shared" si="1"/>
        <v>6.6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12977517.959999999</v>
      </c>
      <c r="D41" s="184">
        <f>SUM(D35:D40)</f>
        <v>99.899999999999991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4" sqref="C4:M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SEABROOK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>
        <v>5</v>
      </c>
      <c r="B4" s="219">
        <v>14</v>
      </c>
      <c r="C4" s="286" t="s">
        <v>915</v>
      </c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2017-08-29T14:16:35Z</cp:lastPrinted>
  <dcterms:created xsi:type="dcterms:W3CDTF">1997-12-04T19:04:30Z</dcterms:created>
  <dcterms:modified xsi:type="dcterms:W3CDTF">2017-11-29T18:05:17Z</dcterms:modified>
</cp:coreProperties>
</file>