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B37" i="12"/>
  <c r="B19" i="12"/>
  <c r="B10" i="12"/>
  <c r="H543" i="1"/>
  <c r="J592" i="1"/>
  <c r="G613" i="1"/>
  <c r="F613" i="1"/>
  <c r="F502" i="1"/>
  <c r="F468" i="1"/>
  <c r="F472" i="1"/>
  <c r="H397" i="1"/>
  <c r="F13" i="1"/>
  <c r="F50" i="1"/>
  <c r="F118" i="1"/>
  <c r="F57" i="1"/>
  <c r="F498" i="1" l="1"/>
  <c r="G429" i="1"/>
  <c r="F429" i="1"/>
  <c r="H472" i="1"/>
  <c r="G472" i="1"/>
  <c r="J468" i="1"/>
  <c r="I468" i="1"/>
  <c r="G468" i="1"/>
  <c r="H396" i="1"/>
  <c r="H451" i="1"/>
  <c r="H439" i="1"/>
  <c r="G459" i="1"/>
  <c r="I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E119" i="2" s="1"/>
  <c r="L321" i="1"/>
  <c r="E120" i="2" s="1"/>
  <c r="L322" i="1"/>
  <c r="L323" i="1"/>
  <c r="L324" i="1"/>
  <c r="E123" i="2" s="1"/>
  <c r="L325" i="1"/>
  <c r="E124" i="2" s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L250" i="1"/>
  <c r="L332" i="1"/>
  <c r="L254" i="1"/>
  <c r="L268" i="1"/>
  <c r="C142" i="2" s="1"/>
  <c r="L269" i="1"/>
  <c r="C143" i="2" s="1"/>
  <c r="L349" i="1"/>
  <c r="L350" i="1"/>
  <c r="I665" i="1"/>
  <c r="I670" i="1"/>
  <c r="G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L526" i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D18" i="2" s="1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I446" i="1"/>
  <c r="G642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F461" i="1"/>
  <c r="G470" i="1"/>
  <c r="I470" i="1"/>
  <c r="J470" i="1"/>
  <c r="G474" i="1"/>
  <c r="H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H628" i="1"/>
  <c r="H630" i="1"/>
  <c r="H631" i="1"/>
  <c r="H633" i="1"/>
  <c r="H634" i="1"/>
  <c r="H635" i="1"/>
  <c r="H637" i="1"/>
  <c r="G639" i="1"/>
  <c r="J639" i="1" s="1"/>
  <c r="H639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F192" i="1"/>
  <c r="G62" i="2"/>
  <c r="I169" i="1"/>
  <c r="J140" i="1"/>
  <c r="H140" i="1"/>
  <c r="H192" i="1"/>
  <c r="L309" i="1"/>
  <c r="G36" i="2"/>
  <c r="A13" i="12" l="1"/>
  <c r="H112" i="1"/>
  <c r="I461" i="1"/>
  <c r="H642" i="1" s="1"/>
  <c r="H662" i="1"/>
  <c r="C19" i="10"/>
  <c r="E122" i="2"/>
  <c r="K338" i="1"/>
  <c r="K352" i="1" s="1"/>
  <c r="H338" i="1"/>
  <c r="H352" i="1" s="1"/>
  <c r="C78" i="2"/>
  <c r="K545" i="1"/>
  <c r="H545" i="1"/>
  <c r="J545" i="1"/>
  <c r="J257" i="1"/>
  <c r="J271" i="1" s="1"/>
  <c r="C122" i="2"/>
  <c r="H257" i="1"/>
  <c r="H271" i="1" s="1"/>
  <c r="F257" i="1"/>
  <c r="F271" i="1" s="1"/>
  <c r="I257" i="1"/>
  <c r="I271" i="1" s="1"/>
  <c r="C10" i="10"/>
  <c r="G257" i="1"/>
  <c r="G271" i="1" s="1"/>
  <c r="F18" i="2"/>
  <c r="H52" i="1"/>
  <c r="H619" i="1" s="1"/>
  <c r="J619" i="1" s="1"/>
  <c r="J617" i="1"/>
  <c r="J644" i="1"/>
  <c r="L433" i="1"/>
  <c r="L382" i="1"/>
  <c r="J634" i="1"/>
  <c r="L256" i="1"/>
  <c r="D81" i="2"/>
  <c r="D62" i="2"/>
  <c r="D63" i="2" s="1"/>
  <c r="C132" i="2"/>
  <c r="G112" i="1"/>
  <c r="L328" i="1"/>
  <c r="L338" i="1" s="1"/>
  <c r="D127" i="2"/>
  <c r="D128" i="2" s="1"/>
  <c r="D145" i="2" s="1"/>
  <c r="D19" i="13"/>
  <c r="C19" i="13" s="1"/>
  <c r="D17" i="13"/>
  <c r="C17" i="13" s="1"/>
  <c r="D14" i="13"/>
  <c r="C14" i="13" s="1"/>
  <c r="C16" i="10"/>
  <c r="C110" i="2"/>
  <c r="C125" i="2"/>
  <c r="E13" i="13"/>
  <c r="C13" i="13" s="1"/>
  <c r="C120" i="2"/>
  <c r="J655" i="1"/>
  <c r="K598" i="1"/>
  <c r="G647" i="1" s="1"/>
  <c r="C15" i="10"/>
  <c r="G624" i="1"/>
  <c r="L427" i="1"/>
  <c r="L419" i="1"/>
  <c r="G338" i="1"/>
  <c r="G352" i="1" s="1"/>
  <c r="J643" i="1"/>
  <c r="K500" i="1"/>
  <c r="J640" i="1"/>
  <c r="F338" i="1"/>
  <c r="F352" i="1" s="1"/>
  <c r="G164" i="2"/>
  <c r="G161" i="2"/>
  <c r="G156" i="2"/>
  <c r="E118" i="2"/>
  <c r="G81" i="2"/>
  <c r="F78" i="2"/>
  <c r="E57" i="2"/>
  <c r="E62" i="2" s="1"/>
  <c r="E63" i="2" s="1"/>
  <c r="C26" i="10"/>
  <c r="G645" i="1"/>
  <c r="J645" i="1" s="1"/>
  <c r="L565" i="1"/>
  <c r="L571" i="1" s="1"/>
  <c r="H571" i="1"/>
  <c r="I545" i="1"/>
  <c r="K503" i="1"/>
  <c r="G476" i="1"/>
  <c r="H623" i="1" s="1"/>
  <c r="J623" i="1" s="1"/>
  <c r="D31" i="2"/>
  <c r="E31" i="2"/>
  <c r="J641" i="1"/>
  <c r="C85" i="2"/>
  <c r="C91" i="2" s="1"/>
  <c r="F169" i="1"/>
  <c r="L393" i="1"/>
  <c r="C138" i="2" s="1"/>
  <c r="C130" i="2"/>
  <c r="C29" i="10"/>
  <c r="E121" i="2"/>
  <c r="C18" i="10"/>
  <c r="I571" i="1"/>
  <c r="D5" i="13"/>
  <c r="C5" i="13" s="1"/>
  <c r="F22" i="13"/>
  <c r="C22" i="13" s="1"/>
  <c r="H169" i="1"/>
  <c r="E8" i="13"/>
  <c r="C8" i="13" s="1"/>
  <c r="D12" i="13"/>
  <c r="C12" i="13" s="1"/>
  <c r="L539" i="1"/>
  <c r="K257" i="1"/>
  <c r="K271" i="1" s="1"/>
  <c r="C119" i="2"/>
  <c r="G661" i="1"/>
  <c r="C20" i="10"/>
  <c r="C11" i="10"/>
  <c r="F112" i="1"/>
  <c r="C56" i="2"/>
  <c r="C35" i="10"/>
  <c r="A40" i="12"/>
  <c r="L362" i="1"/>
  <c r="G635" i="1" s="1"/>
  <c r="J635" i="1" s="1"/>
  <c r="H661" i="1"/>
  <c r="D18" i="13"/>
  <c r="C18" i="13" s="1"/>
  <c r="C21" i="10"/>
  <c r="H647" i="1"/>
  <c r="F662" i="1"/>
  <c r="I662" i="1" s="1"/>
  <c r="C124" i="2"/>
  <c r="G649" i="1"/>
  <c r="J649" i="1" s="1"/>
  <c r="D15" i="13"/>
  <c r="C15" i="13" s="1"/>
  <c r="D6" i="13"/>
  <c r="C6" i="13" s="1"/>
  <c r="C118" i="2"/>
  <c r="C12" i="10"/>
  <c r="C111" i="2"/>
  <c r="C131" i="2"/>
  <c r="H25" i="13"/>
  <c r="E125" i="2"/>
  <c r="E112" i="2"/>
  <c r="E115" i="2" s="1"/>
  <c r="C13" i="10"/>
  <c r="L247" i="1"/>
  <c r="D7" i="13"/>
  <c r="C7" i="13" s="1"/>
  <c r="L290" i="1"/>
  <c r="J571" i="1"/>
  <c r="G549" i="1"/>
  <c r="L529" i="1"/>
  <c r="L211" i="1"/>
  <c r="L401" i="1"/>
  <c r="C139" i="2" s="1"/>
  <c r="L351" i="1"/>
  <c r="L229" i="1"/>
  <c r="E16" i="13"/>
  <c r="C17" i="10"/>
  <c r="D29" i="13"/>
  <c r="C29" i="13" s="1"/>
  <c r="J651" i="1"/>
  <c r="L534" i="1"/>
  <c r="I52" i="1"/>
  <c r="H620" i="1" s="1"/>
  <c r="J620" i="1" s="1"/>
  <c r="G625" i="1"/>
  <c r="G157" i="2"/>
  <c r="C123" i="2"/>
  <c r="F81" i="2"/>
  <c r="C70" i="2"/>
  <c r="C81" i="2" s="1"/>
  <c r="C62" i="2"/>
  <c r="C18" i="2"/>
  <c r="L270" i="1"/>
  <c r="J551" i="1"/>
  <c r="J552" i="1" s="1"/>
  <c r="L544" i="1"/>
  <c r="I552" i="1"/>
  <c r="H552" i="1"/>
  <c r="F551" i="1"/>
  <c r="K551" i="1" s="1"/>
  <c r="L524" i="1"/>
  <c r="C32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D103" i="2"/>
  <c r="I140" i="1"/>
  <c r="A22" i="12"/>
  <c r="J652" i="1"/>
  <c r="J642" i="1"/>
  <c r="G571" i="1"/>
  <c r="I434" i="1"/>
  <c r="G434" i="1"/>
  <c r="I663" i="1"/>
  <c r="H193" i="1" l="1"/>
  <c r="G636" i="1"/>
  <c r="I472" i="1"/>
  <c r="L434" i="1"/>
  <c r="J647" i="1"/>
  <c r="E128" i="2"/>
  <c r="E145" i="2" s="1"/>
  <c r="H648" i="1"/>
  <c r="J648" i="1" s="1"/>
  <c r="I193" i="1"/>
  <c r="G630" i="1" s="1"/>
  <c r="J630" i="1" s="1"/>
  <c r="D104" i="2"/>
  <c r="C39" i="10"/>
  <c r="C63" i="2"/>
  <c r="C104" i="2" s="1"/>
  <c r="C115" i="2"/>
  <c r="G664" i="1"/>
  <c r="G667" i="1" s="1"/>
  <c r="C27" i="10"/>
  <c r="C28" i="10" s="1"/>
  <c r="C141" i="2"/>
  <c r="C144" i="2" s="1"/>
  <c r="F104" i="2"/>
  <c r="H660" i="1"/>
  <c r="H664" i="1" s="1"/>
  <c r="H667" i="1" s="1"/>
  <c r="D31" i="13"/>
  <c r="C31" i="13" s="1"/>
  <c r="L257" i="1"/>
  <c r="L271" i="1" s="1"/>
  <c r="I661" i="1"/>
  <c r="G51" i="2"/>
  <c r="E104" i="2"/>
  <c r="C36" i="10"/>
  <c r="G672" i="1"/>
  <c r="C5" i="10" s="1"/>
  <c r="F193" i="1"/>
  <c r="L408" i="1"/>
  <c r="L545" i="1"/>
  <c r="E33" i="13"/>
  <c r="D35" i="13" s="1"/>
  <c r="C16" i="13"/>
  <c r="F660" i="1"/>
  <c r="C128" i="2"/>
  <c r="G552" i="1"/>
  <c r="K549" i="1"/>
  <c r="K552" i="1" s="1"/>
  <c r="C25" i="13"/>
  <c r="H33" i="13"/>
  <c r="F552" i="1"/>
  <c r="L352" i="1"/>
  <c r="G633" i="1" s="1"/>
  <c r="J633" i="1" s="1"/>
  <c r="C51" i="2"/>
  <c r="G631" i="1"/>
  <c r="J631" i="1" s="1"/>
  <c r="G193" i="1"/>
  <c r="G628" i="1" s="1"/>
  <c r="J628" i="1" s="1"/>
  <c r="G626" i="1"/>
  <c r="J52" i="1"/>
  <c r="H621" i="1" s="1"/>
  <c r="J621" i="1" s="1"/>
  <c r="C38" i="10"/>
  <c r="G629" i="1" l="1"/>
  <c r="H468" i="1"/>
  <c r="G627" i="1"/>
  <c r="G638" i="1"/>
  <c r="J472" i="1"/>
  <c r="I474" i="1"/>
  <c r="I476" i="1" s="1"/>
  <c r="H625" i="1" s="1"/>
  <c r="J625" i="1" s="1"/>
  <c r="H636" i="1"/>
  <c r="J636" i="1" s="1"/>
  <c r="G632" i="1"/>
  <c r="D33" i="13"/>
  <c r="D36" i="13" s="1"/>
  <c r="C145" i="2"/>
  <c r="H672" i="1"/>
  <c r="C6" i="10" s="1"/>
  <c r="D24" i="10"/>
  <c r="C30" i="10"/>
  <c r="D16" i="10"/>
  <c r="D10" i="10"/>
  <c r="D23" i="10"/>
  <c r="D26" i="10"/>
  <c r="D19" i="10"/>
  <c r="D13" i="10"/>
  <c r="D11" i="10"/>
  <c r="D21" i="10"/>
  <c r="D22" i="10"/>
  <c r="D20" i="10"/>
  <c r="D15" i="10"/>
  <c r="D25" i="10"/>
  <c r="D27" i="10"/>
  <c r="D18" i="10"/>
  <c r="D17" i="10"/>
  <c r="D12" i="10"/>
  <c r="G637" i="1"/>
  <c r="J637" i="1" s="1"/>
  <c r="H646" i="1"/>
  <c r="J646" i="1" s="1"/>
  <c r="F664" i="1"/>
  <c r="I660" i="1"/>
  <c r="I664" i="1" s="1"/>
  <c r="I672" i="1" s="1"/>
  <c r="C7" i="10" s="1"/>
  <c r="C41" i="10"/>
  <c r="D38" i="10" s="1"/>
  <c r="H470" i="1" l="1"/>
  <c r="H476" i="1" s="1"/>
  <c r="H624" i="1" s="1"/>
  <c r="J624" i="1" s="1"/>
  <c r="H629" i="1"/>
  <c r="J629" i="1"/>
  <c r="F470" i="1"/>
  <c r="H627" i="1"/>
  <c r="J627" i="1"/>
  <c r="H638" i="1"/>
  <c r="J474" i="1"/>
  <c r="J476" i="1" s="1"/>
  <c r="H626" i="1" s="1"/>
  <c r="J626" i="1" s="1"/>
  <c r="J638" i="1"/>
  <c r="H632" i="1"/>
  <c r="F474" i="1"/>
  <c r="J632" i="1"/>
  <c r="D28" i="10"/>
  <c r="I667" i="1"/>
  <c r="F672" i="1"/>
  <c r="C4" i="10" s="1"/>
  <c r="F667" i="1"/>
  <c r="D37" i="10"/>
  <c r="D36" i="10"/>
  <c r="D35" i="10"/>
  <c r="D40" i="10"/>
  <c r="D39" i="10"/>
  <c r="F476" i="1" l="1"/>
  <c r="H622" i="1" s="1"/>
  <c r="H656" i="1" s="1"/>
  <c r="J622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<sst xmlns="http://schemas.openxmlformats.org/spreadsheetml/2006/main" count="3959" uniqueCount="916">
  <si>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</si>
  <si>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</si>
  <si>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</si>
  <si>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</si>
  <si>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</si>
  <si>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</si>
  <si>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</si>
  <si>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</si>
  <si>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</si>
  <si>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</si>
  <si>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</si>
  <si>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</si>
  <si>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</si>
  <si>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</si>
  <si>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</si>
  <si>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</si>
  <si>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</si>
  <si>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</si>
  <si>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</si>
  <si>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</si>
  <si>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</si>
  <si>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</si>
  <si>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</si>
  <si>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</si>
  <si>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</si>
  <si>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</si>
  <si>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</si>
  <si>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</si>
  <si>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</si>
  <si>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</si>
  <si>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</si>
  <si>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</si>
  <si>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</si>
  <si>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</si>
  <si>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</si>
  <si>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</si>
  <si>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</si>
  <si>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</si>
  <si>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</si>
  <si>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</si>
  <si>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</si>
  <si>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</si>
  <si>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</si>
  <si>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</si>
  <si>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</si>
  <si>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</si>
  <si>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</si>
  <si>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</si>
  <si>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</si>
  <si>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</si>
  <si>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</si>
  <si>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</si>
  <si>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</si>
  <si>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</si>
  <si>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</si>
  <si>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</si>
  <si>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</si>
  <si>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</si>
  <si>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</si>
  <si>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</si>
  <si>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</si>
  <si>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</si>
  <si>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</si>
  <si>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</si>
  <si>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</si>
  <si>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</si>
  <si>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</si>
  <si>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</si>
  <si>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</si>
  <si>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</si>
  <si>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</si>
  <si>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</si>
  <si>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</si>
  <si>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</si>
  <si>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</si>
  <si>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</si>
  <si>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</si>
  <si>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</si>
  <si>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</si>
  <si>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</si>
  <si>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</si>
  <si>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</si>
  <si>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</si>
  <si>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</si>
  <si>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</si>
  <si>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</si>
  <si>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</si>
  <si>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</si>
  <si>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</si>
  <si>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</si>
  <si>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</si>
  <si>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</si>
  <si>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</si>
  <si>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</si>
  <si>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</si>
  <si>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</si>
  <si>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</si>
  <si>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</si>
  <si>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</si>
  <si>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</si>
  <si>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</si>
  <si>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</si>
  <si>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</si>
  <si>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</si>
  <si>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</si>
  <si>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</si>
  <si>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</si>
  <si>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</si>
  <si>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</si>
  <si>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</si>
  <si>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</si>
  <si>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</si>
  <si>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</si>
  <si>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</si>
  <si>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</si>
  <si>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</si>
  <si>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</si>
  <si>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</si>
  <si>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</si>
  <si>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</si>
  <si>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</si>
  <si>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</si>
  <si>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</si>
  <si>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</si>
  <si>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</si>
  <si>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</si>
  <si>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</si>
  <si>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</si>
  <si>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</si>
  <si>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</si>
  <si>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</si>
  <si>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</si>
  <si>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</si>
  <si>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</si>
  <si>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</si>
  <si>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</si>
  <si>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</si>
  <si>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</si>
  <si>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</si>
  <si>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</si>
  <si>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</si>
  <si>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</si>
  <si>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</si>
  <si>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</si>
  <si>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</si>
  <si>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</si>
  <si>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</si>
  <si>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</si>
  <si>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</si>
  <si>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</si>
  <si>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</si>
  <si>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</si>
  <si>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</si>
  <si>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</si>
  <si>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</si>
  <si>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</si>
  <si>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</si>
  <si>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</si>
  <si>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</si>
  <si>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</si>
  <si>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</si>
  <si>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</si>
  <si>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</si>
  <si>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</si>
  <si>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</si>
  <si>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</si>
  <si>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</si>
  <si>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</si>
  <si>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</si>
  <si>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</si>
  <si>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</si>
  <si>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</si>
  <si>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</si>
  <si>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</si>
  <si>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</si>
  <si>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</si>
  <si>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</si>
  <si>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</si>
  <si>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</si>
  <si>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</si>
  <si>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</si>
  <si>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</si>
  <si>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</si>
  <si>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</si>
  <si>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</si>
  <si>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</si>
  <si>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</si>
  <si>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</si>
  <si>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</si>
  <si>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</si>
  <si>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</si>
  <si>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</si>
  <si>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</si>
  <si>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</si>
  <si>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</si>
  <si>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</si>
  <si>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</si>
  <si>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</si>
  <si>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</si>
  <si>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</si>
  <si>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</si>
  <si>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</si>
  <si>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</si>
  <si>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</si>
  <si>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</si>
  <si>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</si>
  <si>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</si>
  <si>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</si>
  <si>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</si>
  <si>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</si>
  <si>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</si>
  <si>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</si>
  <si>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</si>
  <si>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</si>
  <si>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</si>
  <si>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</si>
  <si>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</si>
  <si>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</si>
  <si>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</si>
  <si>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</si>
  <si>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</si>
  <si>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</si>
  <si>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</si>
  <si>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</si>
  <si>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</si>
  <si>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</si>
  <si>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</si>
  <si>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</si>
  <si>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</si>
  <si>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</si>
  <si>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</si>
  <si>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</si>
  <si>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</si>
  <si>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</si>
  <si>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</si>
  <si>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</si>
  <si>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</si>
  <si>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</si>
  <si>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</si>
  <si>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</si>
  <si>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</si>
  <si>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</si>
  <si>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</si>
  <si>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</si>
  <si>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</si>
  <si>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</si>
  <si>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</si>
  <si>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</si>
  <si>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</si>
  <si>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</si>
  <si>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</si>
  <si>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</si>
  <si>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</si>
  <si>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</si>
  <si>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</si>
  <si>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</si>
  <si>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</si>
  <si>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</si>
  <si>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</si>
  <si>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</si>
  <si>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</si>
  <si>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</si>
  <si>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</si>
  <si>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</si>
  <si>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</si>
  <si>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</si>
  <si>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</si>
  <si>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</si>
  <si>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</si>
  <si>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</si>
  <si>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</si>
  <si>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</si>
  <si>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</si>
  <si>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</si>
  <si>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</si>
  <si>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</si>
  <si>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</si>
  <si>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</si>
  <si>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</si>
  <si>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</si>
  <si>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</si>
  <si>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</si>
  <si>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</si>
  <si>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</si>
  <si>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</si>
  <si>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</si>
  <si>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</si>
  <si>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</si>
  <si>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</si>
  <si>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</si>
  <si>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</si>
  <si>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</si>
  <si>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</si>
  <si>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</si>
  <si>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</si>
  <si>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</si>
  <si>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</si>
  <si>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</si>
  <si>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</si>
  <si>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</si>
  <si>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</si>
  <si>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</si>
  <si>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</si>
  <si>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</si>
  <si>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</si>
  <si>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</si>
  <si>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</si>
  <si>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</si>
  <si>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</si>
  <si>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</si>
  <si>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</si>
  <si>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</si>
  <si>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</si>
  <si>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</si>
  <si>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</si>
  <si>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</si>
  <si>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</si>
  <si>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</si>
  <si>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</si>
  <si>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</si>
  <si>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</si>
  <si>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</si>
  <si>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</si>
  <si>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</si>
  <si>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</si>
  <si>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</si>
  <si>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</si>
  <si>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</si>
  <si>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</si>
  <si>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</si>
  <si>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</si>
  <si>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</si>
  <si>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</si>
  <si>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</si>
  <si>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</si>
  <si>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</si>
  <si>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</si>
  <si>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</si>
  <si>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</si>
  <si>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</si>
  <si>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</si>
  <si>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</si>
  <si>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</si>
  <si>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</si>
  <si>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</si>
  <si>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</si>
  <si>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</si>
  <si>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</si>
  <si>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</si>
  <si>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</si>
  <si>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</si>
  <si>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</si>
  <si>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</si>
  <si>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</si>
  <si>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</si>
  <si>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</si>
  <si>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</si>
  <si>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</si>
  <si>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</si>
  <si>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</si>
  <si>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</si>
  <si>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</si>
  <si>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</si>
  <si>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</si>
  <si>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</si>
  <si>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</si>
  <si>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</si>
  <si>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</si>
  <si>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</si>
  <si>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</si>
  <si>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</si>
  <si>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</si>
  <si>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</si>
  <si>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</si>
  <si>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</si>
  <si>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</si>
  <si>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</si>
  <si>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</si>
  <si>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</si>
  <si>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</si>
  <si>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</si>
  <si>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</si>
  <si>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</si>
  <si>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</si>
  <si>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</si>
  <si>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</si>
  <si>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</si>
  <si>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</si>
  <si>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</si>
  <si>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</si>
  <si>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</si>
  <si>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</si>
  <si>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</si>
  <si>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</si>
  <si>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</si>
  <si>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</si>
  <si>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</si>
  <si>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</si>
  <si>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</si>
  <si>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</si>
  <si>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</si>
  <si>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</si>
  <si>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</si>
  <si>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</si>
  <si>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</si>
  <si>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</si>
  <si>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</si>
  <si>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</si>
  <si>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</si>
  <si>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</si>
  <si>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</si>
  <si>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</si>
  <si>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</si>
  <si>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</si>
  <si>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</si>
  <si>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</si>
  <si>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</si>
  <si>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</si>
  <si>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</si>
  <si>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</si>
  <si>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</si>
  <si>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</si>
  <si>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</si>
  <si>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</si>
  <si>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</si>
  <si>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</si>
  <si>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</si>
  <si>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</si>
  <si>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</si>
  <si>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</si>
  <si>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</si>
  <si>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</si>
  <si>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</si>
  <si>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</si>
  <si>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</si>
  <si>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</si>
  <si>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</si>
  <si>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</si>
  <si>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</si>
  <si>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</si>
  <si>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</si>
  <si>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</si>
  <si>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</si>
  <si>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</si>
  <si>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</si>
  <si>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</si>
  <si>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</si>
  <si>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</si>
  <si>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</si>
  <si>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</si>
  <si>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</si>
  <si>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</si>
  <si>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</si>
  <si>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</si>
  <si>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</si>
  <si>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</si>
  <si>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</si>
  <si>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</si>
  <si>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</si>
  <si>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</si>
  <si>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</si>
  <si>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</si>
  <si>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</si>
  <si>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</si>
  <si>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</si>
  <si>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</si>
  <si>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</si>
  <si>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</si>
  <si>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</si>
  <si>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</si>
  <si>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</si>
  <si>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</si>
  <si>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</si>
  <si>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</si>
  <si>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</si>
  <si>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</si>
  <si>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</si>
  <si>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</si>
  <si>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</si>
  <si>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</si>
  <si>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</si>
  <si>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</si>
  <si>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</si>
  <si>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</si>
  <si>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</si>
  <si>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</si>
  <si>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</si>
  <si>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</si>
  <si>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</si>
  <si>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</si>
  <si>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</si>
  <si>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</si>
  <si>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</si>
  <si>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</si>
  <si>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</si>
  <si>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</si>
  <si>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</si>
  <si>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</si>
  <si>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</si>
  <si>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</si>
  <si>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</si>
  <si>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</si>
  <si>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</si>
  <si>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</si>
  <si>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</si>
  <si>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</si>
  <si>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</si>
  <si>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</si>
  <si>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</si>
  <si>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</si>
  <si>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</si>
  <si>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</si>
  <si>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</si>
  <si>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</si>
  <si>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</si>
  <si>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</si>
  <si>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</si>
  <si>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</si>
  <si>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</si>
  <si>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</si>
  <si>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</si>
  <si>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</si>
  <si>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</si>
  <si>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</si>
  <si>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</si>
  <si>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</si>
  <si>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</si>
  <si>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</si>
  <si>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</si>
  <si>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</si>
  <si>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</si>
  <si>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</si>
  <si>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</si>
  <si>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</si>
  <si>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</si>
  <si>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</si>
  <si>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</si>
  <si>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</si>
  <si>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</si>
  <si>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</si>
  <si>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</si>
  <si>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</si>
  <si>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</si>
  <si>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</si>
  <si>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</si>
  <si>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</si>
  <si>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</si>
  <si>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</si>
  <si>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</si>
  <si>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</si>
  <si>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</si>
  <si>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</si>
  <si>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</si>
  <si>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</si>
  <si>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</si>
  <si>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</si>
  <si>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</si>
  <si>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</si>
  <si>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</si>
  <si>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</si>
  <si>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</si>
  <si>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</si>
  <si>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</si>
  <si>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</si>
  <si>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</si>
  <si>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</si>
  <si>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</si>
  <si>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</si>
  <si>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</si>
  <si>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</si>
  <si>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</si>
  <si>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</si>
  <si>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</si>
  <si>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</si>
  <si>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</si>
  <si>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</si>
  <si>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</si>
  <si>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</si>
  <si>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</si>
  <si>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</si>
  <si>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</si>
  <si>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</si>
  <si>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</si>
  <si>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</si>
  <si>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</si>
  <si>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</si>
  <si>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</si>
  <si>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</si>
  <si>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</si>
  <si>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</si>
  <si>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</si>
  <si>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</si>
  <si>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</si>
  <si>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</si>
  <si>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</si>
  <si>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</si>
  <si>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</si>
  <si>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</si>
  <si>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</si>
  <si>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</si>
  <si>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</si>
  <si>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</si>
  <si>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</si>
  <si>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</si>
  <si>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</si>
  <si>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</si>
  <si>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</si>
  <si>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</si>
  <si>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</si>
  <si>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</si>
  <si>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</si>
  <si>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</si>
  <si>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</si>
  <si>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</si>
  <si>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</si>
  <si>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</si>
  <si>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</si>
  <si>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</si>
  <si>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</si>
  <si>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</si>
  <si>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</si>
  <si>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</si>
  <si>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</si>
  <si>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</si>
  <si>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</si>
  <si>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</si>
  <si>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</si>
  <si>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</si>
  <si>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</si>
  <si>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</si>
  <si>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</si>
  <si>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</si>
  <si>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</si>
  <si>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</si>
  <si>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</si>
  <si>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</si>
  <si>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</si>
  <si>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</si>
  <si>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</si>
  <si>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</si>
  <si>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</si>
  <si>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</si>
  <si>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</si>
  <si>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</si>
  <si>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</si>
  <si>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</si>
  <si>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</si>
  <si>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</si>
  <si>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</si>
  <si>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</si>
  <si>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</si>
  <si>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</si>
  <si>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</si>
  <si>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</si>
  <si>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</si>
  <si>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</si>
  <si>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</si>
  <si>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</si>
  <si>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</si>
  <si>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</si>
  <si>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</si>
  <si>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</si>
  <si>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</si>
  <si>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</si>
  <si>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</si>
  <si>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</si>
  <si>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</si>
  <si>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</si>
  <si>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</si>
  <si>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</si>
  <si>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</si>
  <si>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</si>
  <si>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</si>
  <si>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</si>
  <si>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</si>
  <si>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</si>
  <si>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</si>
  <si>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</si>
  <si>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</si>
  <si>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</si>
  <si>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</si>
  <si>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</si>
  <si>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</si>
  <si>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</si>
  <si>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</si>
  <si>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</si>
  <si>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</si>
  <si>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</si>
  <si>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</si>
  <si>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</si>
  <si>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</si>
  <si>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</si>
  <si>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</si>
  <si>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</si>
  <si>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</si>
  <si>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</si>
  <si>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</si>
  <si>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</si>
  <si>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</si>
  <si>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</si>
  <si>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</si>
  <si>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</si>
  <si>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</si>
  <si>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</si>
  <si>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</si>
  <si>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</si>
  <si>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</si>
  <si>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</si>
  <si>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</si>
  <si>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</si>
  <si>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</si>
  <si>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</si>
  <si>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</si>
  <si>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</si>
  <si>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</si>
  <si>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</si>
  <si>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</si>
  <si>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</si>
  <si>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</si>
  <si>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</si>
  <si>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</si>
  <si>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</si>
  <si>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</si>
  <si>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</si>
  <si>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</si>
  <si>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</si>
  <si>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</si>
  <si>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</si>
  <si>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</si>
  <si>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</si>
  <si>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</si>
  <si>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</si>
  <si>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</si>
  <si>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</si>
  <si>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</si>
  <si>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</si>
  <si>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</si>
  <si>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</si>
  <si>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</si>
  <si>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</si>
  <si>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</si>
  <si>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</si>
  <si>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</si>
  <si>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</si>
  <si>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</si>
  <si>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</si>
  <si>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</si>
  <si>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</si>
  <si>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</si>
  <si>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</si>
  <si>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</si>
  <si>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</si>
  <si>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</si>
  <si>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</si>
  <si>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</si>
  <si>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</si>
  <si>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</si>
  <si>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</si>
  <si>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</si>
  <si>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</si>
  <si>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</si>
  <si>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</si>
  <si>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</si>
  <si>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</si>
  <si>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</si>
  <si>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</si>
  <si>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</si>
  <si>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</si>
  <si>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</si>
  <si>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</si>
  <si>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</si>
  <si>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</si>
  <si>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</si>
  <si>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</si>
  <si>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</si>
  <si>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</si>
  <si>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</si>
  <si>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</si>
  <si>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</si>
  <si>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</si>
  <si>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</si>
  <si>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</si>
  <si>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</si>
  <si>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</si>
  <si>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</si>
  <si>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</si>
  <si>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</si>
  <si>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</si>
  <si>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</si>
  <si>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</si>
  <si>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</si>
  <si>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</si>
  <si>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</si>
  <si>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</si>
  <si>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</si>
  <si>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</si>
  <si>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</si>
  <si>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</si>
  <si>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</si>
  <si>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</si>
  <si>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</si>
  <si>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</si>
  <si>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</si>
  <si>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</si>
  <si>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</si>
  <si>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</si>
  <si>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</si>
  <si>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</si>
  <si>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</si>
  <si>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</si>
  <si>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</si>
  <si>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</si>
  <si>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</si>
  <si>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</si>
  <si>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</si>
  <si>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</si>
  <si>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</si>
  <si>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</si>
  <si>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</si>
  <si>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</si>
  <si>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</si>
  <si>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</si>
  <si>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</si>
  <si>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</si>
  <si>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</si>
  <si>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</si>
  <si>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</si>
  <si>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</si>
  <si>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</si>
  <si>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</si>
  <si>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</si>
  <si>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</si>
  <si>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</si>
  <si>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</si>
  <si>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</si>
  <si>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</si>
  <si>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</si>
  <si>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</si>
  <si>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</si>
  <si>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</si>
  <si>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</si>
  <si>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</si>
  <si>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</si>
  <si>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</si>
  <si>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</si>
  <si>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</si>
  <si>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</si>
  <si>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</si>
  <si>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</si>
  <si>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</si>
  <si>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</si>
  <si>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</si>
  <si>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</si>
  <si>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</si>
  <si>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</si>
  <si>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</si>
  <si>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</si>
  <si>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</si>
  <si>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</si>
  <si>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</si>
  <si>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</si>
  <si>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</si>
  <si>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</si>
  <si>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</si>
  <si>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</si>
  <si>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</si>
  <si>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</si>
  <si>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</si>
  <si>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</si>
  <si>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</si>
  <si>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</si>
  <si>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</si>
  <si>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</si>
  <si>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</si>
  <si>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</si>
  <si>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</si>
  <si>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</si>
  <si>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</si>
  <si>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</si>
  <si>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</si>
  <si>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</si>
  <si>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</si>
  <si>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</si>
  <si>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</si>
  <si>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</si>
  <si>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</si>
  <si>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</si>
  <si>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</si>
  <si>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</si>
  <si>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</si>
  <si>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</si>
  <si>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</si>
  <si>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</si>
  <si>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</si>
  <si>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</si>
  <si>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</si>
  <si>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</si>
  <si>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</si>
  <si>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</si>
  <si>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</si>
  <si>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</si>
  <si>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</si>
  <si>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</si>
  <si>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</si>
  <si>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</si>
  <si>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</si>
  <si>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</si>
  <si>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</si>
  <si>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</si>
  <si>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</si>
  <si>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</si>
  <si>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</si>
  <si>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Agency Funds</t>
  </si>
  <si>
    <t>07/13</t>
  </si>
  <si>
    <t>08/20</t>
  </si>
  <si>
    <t>Souhegan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</si>
</sst>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493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-229414.76</v>
      </c>
      <c r="G9" s="18">
        <v>800</v>
      </c>
      <c r="H9" s="18">
        <v>8901.27</v>
      </c>
      <c r="I9" s="18">
        <v>11023.41</v>
      </c>
      <c r="J9" s="67">
        <f>SUM(I439)</f>
        <v>161085.35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1109023.82</v>
      </c>
      <c r="G10" s="18">
        <v>0</v>
      </c>
      <c r="H10" s="18">
        <v>0</v>
      </c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91872.25</v>
      </c>
      <c r="G12" s="18">
        <v>0</v>
      </c>
      <c r="H12" s="18">
        <v>0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19155.54</f>
        <v>19155.54</v>
      </c>
      <c r="G13" s="18">
        <v>14867.99</v>
      </c>
      <c r="H13" s="18">
        <v>99772.85</v>
      </c>
      <c r="I13" s="18"/>
      <c r="J13" s="67">
        <f>SUM(I442)</f>
        <v>507345.46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>
        <v>669.18</v>
      </c>
      <c r="H14" s="18">
        <v>0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990636.85000000009</v>
      </c>
      <c r="G19" s="41">
        <f>SUM(G9:G18)</f>
        <v>16337.17</v>
      </c>
      <c r="H19" s="41">
        <f>SUM(H9:H18)</f>
        <v>108674.12000000001</v>
      </c>
      <c r="I19" s="41">
        <f>SUM(I9:I18)</f>
        <v>11023.41</v>
      </c>
      <c r="J19" s="41">
        <f>SUM(J9:J18)</f>
        <v>668430.81000000006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562</v>
      </c>
      <c r="H22" s="18">
        <v>91674.94</v>
      </c>
      <c r="I22" s="18">
        <v>50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174984.62</v>
      </c>
      <c r="G24" s="18">
        <v>1507.39</v>
      </c>
      <c r="H24" s="18">
        <v>38.729999999999997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52792.52</v>
      </c>
      <c r="G28" s="18">
        <v>0</v>
      </c>
      <c r="H28" s="18">
        <v>0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28517.85</v>
      </c>
      <c r="G29" s="18">
        <v>0</v>
      </c>
      <c r="H29" s="18">
        <v>0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9382.01</v>
      </c>
      <c r="G30" s="18">
        <v>14267.78</v>
      </c>
      <c r="H30" s="18">
        <v>8059.18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/>
      <c r="J31" s="67">
        <f>SUM(I451)</f>
        <v>161085.35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265677</v>
      </c>
      <c r="G32" s="41">
        <f>SUM(G22:G31)</f>
        <v>16337.170000000002</v>
      </c>
      <c r="H32" s="41">
        <f>SUM(H22:H31)</f>
        <v>99772.85</v>
      </c>
      <c r="I32" s="41">
        <f>SUM(I22:I31)</f>
        <v>50</v>
      </c>
      <c r="J32" s="41">
        <f>SUM(J22:J31)</f>
        <v>161085.35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65000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0</v>
      </c>
      <c r="H48" s="18">
        <v>8901.27</v>
      </c>
      <c r="I48" s="18">
        <f>32185.91-21212.5</f>
        <v>10973.41</v>
      </c>
      <c r="J48" s="13">
        <f>SUM(I459)</f>
        <v>507345.46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724960.19-65000.34</f>
        <v>659959.85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724959.85</v>
      </c>
      <c r="G51" s="41">
        <f>SUM(G35:G50)</f>
        <v>0</v>
      </c>
      <c r="H51" s="41">
        <f>SUM(H35:H50)</f>
        <v>8901.27</v>
      </c>
      <c r="I51" s="41">
        <f>SUM(I35:I50)</f>
        <v>10973.41</v>
      </c>
      <c r="J51" s="41">
        <f>SUM(J35:J50)</f>
        <v>507345.46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990636.85</v>
      </c>
      <c r="G52" s="41">
        <f>G51+G32</f>
        <v>16337.170000000002</v>
      </c>
      <c r="H52" s="41">
        <f>H51+H32</f>
        <v>108674.12000000001</v>
      </c>
      <c r="I52" s="41">
        <f>I51+I32</f>
        <v>11023.41</v>
      </c>
      <c r="J52" s="41">
        <f>J51+J32</f>
        <v>668430.81000000006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12339561+2</f>
        <v>12339563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12339563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86252.08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4250.07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35315.47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125817.62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5361.22</v>
      </c>
      <c r="G96" s="18"/>
      <c r="H96" s="18"/>
      <c r="I96" s="18">
        <v>37.5</v>
      </c>
      <c r="J96" s="18">
        <v>-21606.51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356799.89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123537.71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6497.21</v>
      </c>
      <c r="G101" s="18"/>
      <c r="H101" s="18">
        <v>8901.27</v>
      </c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/>
      <c r="H102" s="18">
        <v>12137.42</v>
      </c>
      <c r="I102" s="18">
        <v>832190.25</v>
      </c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>
        <v>0</v>
      </c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6160.3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4162.62</v>
      </c>
      <c r="G109" s="18">
        <v>0</v>
      </c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544.67999999999995</v>
      </c>
      <c r="G110" s="18">
        <v>1603.88</v>
      </c>
      <c r="H110" s="18"/>
      <c r="I110" s="18"/>
      <c r="J110" s="18">
        <v>5525.93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146263.74</v>
      </c>
      <c r="G111" s="41">
        <f>SUM(G96:G110)</f>
        <v>358403.77</v>
      </c>
      <c r="H111" s="41">
        <f>SUM(H96:H110)</f>
        <v>21038.690000000002</v>
      </c>
      <c r="I111" s="41">
        <f>SUM(I96:I110)</f>
        <v>832227.75</v>
      </c>
      <c r="J111" s="41">
        <f>SUM(J96:J110)</f>
        <v>-16080.579999999998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12611644.359999999</v>
      </c>
      <c r="G112" s="41">
        <f>G60+G111</f>
        <v>358403.77</v>
      </c>
      <c r="H112" s="41">
        <f>H60+H79+H94+H111</f>
        <v>21038.690000000002</v>
      </c>
      <c r="I112" s="41">
        <f>I60+I111</f>
        <v>832227.75</v>
      </c>
      <c r="J112" s="41">
        <f>J60+J111</f>
        <v>-16080.579999999998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1749752.56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f>1596388-2</f>
        <v>1596386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3346138.56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452140.71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4525.7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944.94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456666.41000000003</v>
      </c>
      <c r="G136" s="41">
        <f>SUM(G123:G135)</f>
        <v>944.94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3802804.97</v>
      </c>
      <c r="G140" s="41">
        <f>G121+SUM(G136:G137)</f>
        <v>944.94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45666.25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21201.439999999999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18916.47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308985.34000000003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112200.2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112200.2</v>
      </c>
      <c r="G162" s="41">
        <f>SUM(G150:G161)</f>
        <v>18916.47</v>
      </c>
      <c r="H162" s="41">
        <f>SUM(H150:H161)</f>
        <v>375853.03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112200.2</v>
      </c>
      <c r="G169" s="41">
        <f>G147+G162+SUM(G163:G168)</f>
        <v>18916.47</v>
      </c>
      <c r="H169" s="41">
        <f>H147+H162+SUM(H163:H168)</f>
        <v>375853.03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10322.540000000001</v>
      </c>
      <c r="H179" s="18"/>
      <c r="I179" s="18"/>
      <c r="J179" s="18">
        <v>65000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10322.540000000001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10322.540000000001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16526649.529999999</v>
      </c>
      <c r="G193" s="47">
        <f>G112+G140+G169+G192</f>
        <v>388587.72000000003</v>
      </c>
      <c r="H193" s="47">
        <f>H112+H140+H169+H192</f>
        <v>396891.72000000003</v>
      </c>
      <c r="I193" s="47">
        <f>I112+I140+I169+I192</f>
        <v>832227.75</v>
      </c>
      <c r="J193" s="47">
        <f>J112+J140+J192</f>
        <v>48919.42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4880017.49</v>
      </c>
      <c r="G233" s="18">
        <v>2017630.96</v>
      </c>
      <c r="H233" s="18">
        <v>11190.17</v>
      </c>
      <c r="I233" s="18">
        <v>136459.51999999999</v>
      </c>
      <c r="J233" s="18">
        <v>187371.64</v>
      </c>
      <c r="K233" s="18">
        <v>640</v>
      </c>
      <c r="L233" s="19">
        <f>SUM(F233:K233)</f>
        <v>7233309.7799999993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1268133.1100000001</v>
      </c>
      <c r="G234" s="18">
        <v>588587.98</v>
      </c>
      <c r="H234" s="18">
        <v>453957.7</v>
      </c>
      <c r="I234" s="18">
        <v>3259.3</v>
      </c>
      <c r="J234" s="18">
        <v>5335.62</v>
      </c>
      <c r="K234" s="18">
        <v>0</v>
      </c>
      <c r="L234" s="19">
        <f>SUM(F234:K234)</f>
        <v>2319273.71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16910.98</v>
      </c>
      <c r="I235" s="18"/>
      <c r="J235" s="18"/>
      <c r="K235" s="18"/>
      <c r="L235" s="19">
        <f>SUM(F235:K235)</f>
        <v>16910.98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296801.08</v>
      </c>
      <c r="G236" s="18">
        <v>59742.720000000001</v>
      </c>
      <c r="H236" s="18">
        <v>138940.4</v>
      </c>
      <c r="I236" s="18">
        <v>40719.29</v>
      </c>
      <c r="J236" s="18">
        <v>55389.58</v>
      </c>
      <c r="K236" s="18">
        <v>24235</v>
      </c>
      <c r="L236" s="19">
        <f>SUM(F236:K236)</f>
        <v>615828.07000000007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882947.44</v>
      </c>
      <c r="G238" s="18">
        <v>370080.61</v>
      </c>
      <c r="H238" s="18">
        <v>426592.74</v>
      </c>
      <c r="I238" s="18">
        <v>9698.48</v>
      </c>
      <c r="J238" s="18">
        <v>455</v>
      </c>
      <c r="K238" s="18">
        <v>1440</v>
      </c>
      <c r="L238" s="19">
        <f t="shared" ref="L238:L244" si="4">SUM(F238:K238)</f>
        <v>1691214.2699999998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302641.67</v>
      </c>
      <c r="G239" s="18">
        <v>164178.54999999999</v>
      </c>
      <c r="H239" s="18">
        <v>1475</v>
      </c>
      <c r="I239" s="18">
        <v>50519.33</v>
      </c>
      <c r="J239" s="18">
        <v>2004.75</v>
      </c>
      <c r="K239" s="18">
        <v>320</v>
      </c>
      <c r="L239" s="19">
        <f t="shared" si="4"/>
        <v>521139.3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10722.22</v>
      </c>
      <c r="G240" s="18">
        <v>890.45</v>
      </c>
      <c r="H240" s="18">
        <v>817982.7</v>
      </c>
      <c r="I240" s="18">
        <v>107.17</v>
      </c>
      <c r="J240" s="18">
        <v>0</v>
      </c>
      <c r="K240" s="18">
        <v>4490.88</v>
      </c>
      <c r="L240" s="19">
        <f t="shared" si="4"/>
        <v>834193.42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445382.42</v>
      </c>
      <c r="G241" s="18">
        <v>183027.89</v>
      </c>
      <c r="H241" s="18">
        <v>43606.58</v>
      </c>
      <c r="I241" s="18">
        <v>19900.21</v>
      </c>
      <c r="J241" s="18">
        <v>0</v>
      </c>
      <c r="K241" s="18">
        <v>18052.2</v>
      </c>
      <c r="L241" s="19">
        <f t="shared" si="4"/>
        <v>709969.29999999993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2868.45</v>
      </c>
      <c r="I242" s="18">
        <v>0</v>
      </c>
      <c r="J242" s="18">
        <v>0</v>
      </c>
      <c r="K242" s="18">
        <v>0</v>
      </c>
      <c r="L242" s="19">
        <f t="shared" si="4"/>
        <v>2868.45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374803.08</v>
      </c>
      <c r="G243" s="18">
        <v>180336.7</v>
      </c>
      <c r="H243" s="18">
        <v>255114.34</v>
      </c>
      <c r="I243" s="18">
        <v>315581.65999999997</v>
      </c>
      <c r="J243" s="18">
        <v>37377.769999999997</v>
      </c>
      <c r="K243" s="18">
        <v>47</v>
      </c>
      <c r="L243" s="19">
        <f t="shared" si="4"/>
        <v>1163260.55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540319.28</v>
      </c>
      <c r="I244" s="18">
        <v>211.41</v>
      </c>
      <c r="J244" s="18">
        <v>0</v>
      </c>
      <c r="K244" s="18">
        <v>0</v>
      </c>
      <c r="L244" s="19">
        <f t="shared" si="4"/>
        <v>540530.69000000006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185861.91</v>
      </c>
      <c r="G245" s="18">
        <v>56759.34</v>
      </c>
      <c r="H245" s="18">
        <v>11828.36</v>
      </c>
      <c r="I245" s="18">
        <v>50372.97</v>
      </c>
      <c r="J245" s="18">
        <v>46560.77</v>
      </c>
      <c r="K245" s="18">
        <v>0</v>
      </c>
      <c r="L245" s="19">
        <f>SUM(F245:K245)</f>
        <v>351383.35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8647310.4199999999</v>
      </c>
      <c r="G247" s="41">
        <f t="shared" si="5"/>
        <v>3621235.2</v>
      </c>
      <c r="H247" s="41">
        <f t="shared" si="5"/>
        <v>2720786.6999999997</v>
      </c>
      <c r="I247" s="41">
        <f t="shared" si="5"/>
        <v>626829.34</v>
      </c>
      <c r="J247" s="41">
        <f t="shared" si="5"/>
        <v>334495.13000000006</v>
      </c>
      <c r="K247" s="41">
        <f t="shared" si="5"/>
        <v>49225.08</v>
      </c>
      <c r="L247" s="41">
        <f t="shared" si="5"/>
        <v>15999881.869999999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>
        <v>143507.43</v>
      </c>
      <c r="K255" s="18"/>
      <c r="L255" s="19">
        <f t="shared" si="6"/>
        <v>143507.43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143507.43</v>
      </c>
      <c r="K256" s="41">
        <f t="shared" si="7"/>
        <v>0</v>
      </c>
      <c r="L256" s="41">
        <f>SUM(F256:K256)</f>
        <v>143507.43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8647310.4199999999</v>
      </c>
      <c r="G257" s="41">
        <f t="shared" si="8"/>
        <v>3621235.2</v>
      </c>
      <c r="H257" s="41">
        <f t="shared" si="8"/>
        <v>2720786.6999999997</v>
      </c>
      <c r="I257" s="41">
        <f t="shared" si="8"/>
        <v>626829.34</v>
      </c>
      <c r="J257" s="41">
        <f t="shared" si="8"/>
        <v>478002.56000000006</v>
      </c>
      <c r="K257" s="41">
        <f t="shared" si="8"/>
        <v>49225.08</v>
      </c>
      <c r="L257" s="41">
        <f t="shared" si="8"/>
        <v>16143389.299999999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155000</v>
      </c>
      <c r="L260" s="19">
        <f>SUM(F260:K260)</f>
        <v>155000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37897.5</v>
      </c>
      <c r="L261" s="19">
        <f>SUM(F261:K261)</f>
        <v>37897.5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10322.540000000001</v>
      </c>
      <c r="L263" s="19">
        <f>SUM(F263:K263)</f>
        <v>10322.540000000001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268220.04000000004</v>
      </c>
      <c r="L270" s="41">
        <f t="shared" si="9"/>
        <v>268220.04000000004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8647310.4199999999</v>
      </c>
      <c r="G271" s="42">
        <f t="shared" si="11"/>
        <v>3621235.2</v>
      </c>
      <c r="H271" s="42">
        <f t="shared" si="11"/>
        <v>2720786.6999999997</v>
      </c>
      <c r="I271" s="42">
        <f t="shared" si="11"/>
        <v>626829.34</v>
      </c>
      <c r="J271" s="42">
        <f t="shared" si="11"/>
        <v>478002.56000000006</v>
      </c>
      <c r="K271" s="42">
        <f t="shared" si="11"/>
        <v>317445.12000000005</v>
      </c>
      <c r="L271" s="42">
        <f t="shared" si="11"/>
        <v>16411609.34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22670.91</v>
      </c>
      <c r="G314" s="18">
        <v>4053.8</v>
      </c>
      <c r="H314" s="18">
        <v>700</v>
      </c>
      <c r="I314" s="18">
        <v>2353.13</v>
      </c>
      <c r="J314" s="18">
        <v>8496.9500000000007</v>
      </c>
      <c r="K314" s="18">
        <v>0</v>
      </c>
      <c r="L314" s="19">
        <f>SUM(F314:K314)</f>
        <v>38274.79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216902.76</v>
      </c>
      <c r="G315" s="18">
        <v>49409.26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266312.02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2000</v>
      </c>
      <c r="G319" s="18">
        <v>401.62</v>
      </c>
      <c r="H319" s="18">
        <v>44610.8</v>
      </c>
      <c r="I319" s="18">
        <v>1075.04</v>
      </c>
      <c r="J319" s="18">
        <v>0</v>
      </c>
      <c r="K319" s="18">
        <v>0</v>
      </c>
      <c r="L319" s="19">
        <f t="shared" ref="L319:L325" si="16">SUM(F319:K319)</f>
        <v>48087.460000000006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3787</v>
      </c>
      <c r="G320" s="18">
        <v>800.88</v>
      </c>
      <c r="H320" s="18">
        <v>16069.19</v>
      </c>
      <c r="I320" s="18">
        <v>1132.78</v>
      </c>
      <c r="J320" s="18">
        <v>0</v>
      </c>
      <c r="K320" s="18">
        <v>650</v>
      </c>
      <c r="L320" s="19">
        <f t="shared" si="16"/>
        <v>22439.85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175.57</v>
      </c>
      <c r="I321" s="18">
        <v>0</v>
      </c>
      <c r="J321" s="18">
        <v>0</v>
      </c>
      <c r="K321" s="18">
        <v>0</v>
      </c>
      <c r="L321" s="19">
        <f t="shared" si="16"/>
        <v>175.57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6800</v>
      </c>
      <c r="G326" s="18">
        <v>1551.66</v>
      </c>
      <c r="H326" s="18">
        <v>4349.1000000000004</v>
      </c>
      <c r="I326" s="18">
        <v>0</v>
      </c>
      <c r="J326" s="18">
        <v>0</v>
      </c>
      <c r="K326" s="18">
        <v>0</v>
      </c>
      <c r="L326" s="19">
        <f>SUM(F326:K326)</f>
        <v>12700.76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252160.67</v>
      </c>
      <c r="G328" s="42">
        <f t="shared" si="17"/>
        <v>56217.220000000008</v>
      </c>
      <c r="H328" s="42">
        <f t="shared" si="17"/>
        <v>65904.66</v>
      </c>
      <c r="I328" s="42">
        <f t="shared" si="17"/>
        <v>4560.95</v>
      </c>
      <c r="J328" s="42">
        <f t="shared" si="17"/>
        <v>8496.9500000000007</v>
      </c>
      <c r="K328" s="42">
        <f t="shared" si="17"/>
        <v>650</v>
      </c>
      <c r="L328" s="41">
        <f t="shared" si="17"/>
        <v>387990.45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252160.67</v>
      </c>
      <c r="G338" s="41">
        <f t="shared" si="20"/>
        <v>56217.220000000008</v>
      </c>
      <c r="H338" s="41">
        <f t="shared" si="20"/>
        <v>65904.66</v>
      </c>
      <c r="I338" s="41">
        <f t="shared" si="20"/>
        <v>4560.95</v>
      </c>
      <c r="J338" s="41">
        <f t="shared" si="20"/>
        <v>8496.9500000000007</v>
      </c>
      <c r="K338" s="41">
        <f t="shared" si="20"/>
        <v>650</v>
      </c>
      <c r="L338" s="41">
        <f t="shared" si="20"/>
        <v>387990.45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252160.67</v>
      </c>
      <c r="G352" s="41">
        <f>G338</f>
        <v>56217.220000000008</v>
      </c>
      <c r="H352" s="41">
        <f>H338</f>
        <v>65904.66</v>
      </c>
      <c r="I352" s="41">
        <f>I338</f>
        <v>4560.95</v>
      </c>
      <c r="J352" s="41">
        <f>J338</f>
        <v>8496.9500000000007</v>
      </c>
      <c r="K352" s="47">
        <f>K338+K351</f>
        <v>650</v>
      </c>
      <c r="L352" s="41">
        <f>L338+L351</f>
        <v>387990.45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163481.65</v>
      </c>
      <c r="G360" s="18">
        <v>73907.899999999994</v>
      </c>
      <c r="H360" s="18">
        <v>638.51</v>
      </c>
      <c r="I360" s="18">
        <v>148559.01</v>
      </c>
      <c r="J360" s="18">
        <v>1941</v>
      </c>
      <c r="K360" s="18">
        <v>59.65</v>
      </c>
      <c r="L360" s="19">
        <f>SUM(F360:K360)</f>
        <v>388587.72000000003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163481.65</v>
      </c>
      <c r="G362" s="47">
        <f t="shared" si="22"/>
        <v>73907.899999999994</v>
      </c>
      <c r="H362" s="47">
        <f t="shared" si="22"/>
        <v>638.51</v>
      </c>
      <c r="I362" s="47">
        <f t="shared" si="22"/>
        <v>148559.01</v>
      </c>
      <c r="J362" s="47">
        <f t="shared" si="22"/>
        <v>1941</v>
      </c>
      <c r="K362" s="47">
        <f t="shared" si="22"/>
        <v>59.65</v>
      </c>
      <c r="L362" s="47">
        <f t="shared" si="22"/>
        <v>388587.72000000003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>
        <v>136911.94</v>
      </c>
      <c r="I367" s="56">
        <f>SUM(F367:H367)</f>
        <v>136911.94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>
        <v>11647.07</v>
      </c>
      <c r="I368" s="56">
        <f>SUM(F368:H368)</f>
        <v>11647.07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148559.01</v>
      </c>
      <c r="I369" s="47">
        <f>SUM(I367:I368)</f>
        <v>148559.01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>
        <v>853440.25</v>
      </c>
      <c r="I375" s="18"/>
      <c r="J375" s="18"/>
      <c r="K375" s="18"/>
      <c r="L375" s="13">
        <f t="shared" ref="L375:L381" si="23">SUM(F375:K375)</f>
        <v>853440.25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853440.25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853440.25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65000</v>
      </c>
      <c r="H396" s="18">
        <f>715.53</f>
        <v>715.53</v>
      </c>
      <c r="I396" s="18"/>
      <c r="J396" s="24" t="s">
        <v>288</v>
      </c>
      <c r="K396" s="24" t="s">
        <v>288</v>
      </c>
      <c r="L396" s="56">
        <f t="shared" si="26"/>
        <v>65715.53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f>7221.52+-29763.25</f>
        <v>-22541.73</v>
      </c>
      <c r="I397" s="18"/>
      <c r="J397" s="24" t="s">
        <v>288</v>
      </c>
      <c r="K397" s="24" t="s">
        <v>288</v>
      </c>
      <c r="L397" s="56">
        <f t="shared" si="26"/>
        <v>-22541.73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219.69</v>
      </c>
      <c r="I400" s="18"/>
      <c r="J400" s="24" t="s">
        <v>288</v>
      </c>
      <c r="K400" s="24" t="s">
        <v>288</v>
      </c>
      <c r="L400" s="56">
        <f t="shared" si="26"/>
        <v>219.69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-21606.510000000002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43393.490000000005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>
        <v>5525.93</v>
      </c>
      <c r="J403" s="24" t="s">
        <v>288</v>
      </c>
      <c r="K403" s="24" t="s">
        <v>288</v>
      </c>
      <c r="L403" s="56">
        <f>SUM(F403:K403)</f>
        <v>5525.93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5525.93</v>
      </c>
      <c r="J407" s="49" t="s">
        <v>288</v>
      </c>
      <c r="K407" s="49" t="s">
        <v>288</v>
      </c>
      <c r="L407" s="47">
        <f>SUM(L403:L406)</f>
        <v>5525.93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-21606.510000000002</v>
      </c>
      <c r="I408" s="47">
        <f>I393+I401+I407</f>
        <v>5525.93</v>
      </c>
      <c r="J408" s="24" t="s">
        <v>288</v>
      </c>
      <c r="K408" s="24" t="s">
        <v>288</v>
      </c>
      <c r="L408" s="47">
        <f>L393+L401+L407</f>
        <v>48919.420000000006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432</v>
      </c>
      <c r="E429" s="6"/>
      <c r="F429" s="18">
        <f>3600+1200</f>
        <v>4800</v>
      </c>
      <c r="G429" s="18">
        <f>50.21+564.12+111.6</f>
        <v>725.93000000000006</v>
      </c>
      <c r="H429" s="18"/>
      <c r="I429" s="18"/>
      <c r="J429" s="18"/>
      <c r="K429" s="18"/>
      <c r="L429" s="56">
        <f>SUM(F429:K429)</f>
        <v>5525.93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4800</v>
      </c>
      <c r="G433" s="47">
        <f t="shared" si="31"/>
        <v>725.93000000000006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5525.93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4800</v>
      </c>
      <c r="G434" s="47">
        <f t="shared" si="32"/>
        <v>725.93000000000006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5525.93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>
        <f>157781.65+3303.7</f>
        <v>161085.35</v>
      </c>
      <c r="I439" s="56">
        <f t="shared" ref="I439:I445" si="33">SUM(F439:H439)</f>
        <v>161085.35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506930.77</v>
      </c>
      <c r="H442" s="18">
        <v>414.69</v>
      </c>
      <c r="I442" s="56">
        <f t="shared" si="33"/>
        <v>507345.46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506930.77</v>
      </c>
      <c r="H446" s="13">
        <f>SUM(H439:H445)</f>
        <v>161500.04</v>
      </c>
      <c r="I446" s="13">
        <f>SUM(I439:I445)</f>
        <v>668430.81000000006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>
        <f>157781.65+3303.7</f>
        <v>161085.35</v>
      </c>
      <c r="I451" s="56">
        <f>SUM(F451:H451)</f>
        <v>161085.35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161085.35</v>
      </c>
      <c r="I452" s="72">
        <f>SUM(I448:I451)</f>
        <v>161085.35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463537.28+43393.49</f>
        <v>506930.77</v>
      </c>
      <c r="H459" s="18">
        <v>414.69</v>
      </c>
      <c r="I459" s="56">
        <f t="shared" si="34"/>
        <v>507345.46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506930.77</v>
      </c>
      <c r="H460" s="83">
        <f>SUM(H454:H459)</f>
        <v>414.69</v>
      </c>
      <c r="I460" s="83">
        <f>SUM(I454:I459)</f>
        <v>507345.46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506930.77</v>
      </c>
      <c r="H461" s="42">
        <f>H452+H460</f>
        <v>161500.04</v>
      </c>
      <c r="I461" s="42">
        <f>I452+I460</f>
        <v>668430.81000000006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609919.66</v>
      </c>
      <c r="G465" s="18">
        <v>0</v>
      </c>
      <c r="H465" s="18">
        <v>0</v>
      </c>
      <c r="I465" s="18">
        <v>32185.91</v>
      </c>
      <c r="J465" s="18">
        <v>463951.97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16526649.529999999</v>
      </c>
      <c r="G468" s="18">
        <f>G193</f>
        <v>388587.72000000003</v>
      </c>
      <c r="H468" s="18">
        <f>H193</f>
        <v>396891.72000000003</v>
      </c>
      <c r="I468" s="18">
        <f>I193</f>
        <v>832227.75</v>
      </c>
      <c r="J468" s="18">
        <f>J193</f>
        <v>48919.42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16526649.529999999</v>
      </c>
      <c r="G470" s="53">
        <f>SUM(G468:G469)</f>
        <v>388587.72000000003</v>
      </c>
      <c r="H470" s="53">
        <f>SUM(H468:H469)</f>
        <v>396891.72000000003</v>
      </c>
      <c r="I470" s="53">
        <f>SUM(I468:I469)</f>
        <v>832227.75</v>
      </c>
      <c r="J470" s="53">
        <f>SUM(J468:J469)</f>
        <v>48919.42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16411609.34</v>
      </c>
      <c r="G472" s="18">
        <f>L362</f>
        <v>388587.72000000003</v>
      </c>
      <c r="H472" s="18">
        <f>L352</f>
        <v>387990.45</v>
      </c>
      <c r="I472" s="18">
        <f>L382</f>
        <v>853440.25</v>
      </c>
      <c r="J472" s="18">
        <f>L434</f>
        <v>5525.93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16411609.34</v>
      </c>
      <c r="G474" s="53">
        <f>SUM(G472:G473)</f>
        <v>388587.72000000003</v>
      </c>
      <c r="H474" s="53">
        <f>SUM(H472:H473)</f>
        <v>387990.45</v>
      </c>
      <c r="I474" s="53">
        <f>SUM(I472:I473)</f>
        <v>853440.25</v>
      </c>
      <c r="J474" s="53">
        <f>SUM(J472:J473)</f>
        <v>5525.93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724959.84999999776</v>
      </c>
      <c r="G476" s="53">
        <f>(G465+G470)- G474</f>
        <v>0</v>
      </c>
      <c r="H476" s="53">
        <f>(H465+H470)- H474</f>
        <v>8901.2700000000186</v>
      </c>
      <c r="I476" s="53">
        <f>(I465+I470)- I474</f>
        <v>10973.410000000033</v>
      </c>
      <c r="J476" s="53">
        <f>(J465+J470)- J474</f>
        <v>507345.45999999996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7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1090000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2.14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775000</v>
      </c>
      <c r="G495" s="18"/>
      <c r="H495" s="18"/>
      <c r="I495" s="18"/>
      <c r="J495" s="18"/>
      <c r="K495" s="53">
        <f>SUM(F495:J495)</f>
        <v>775000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155000</v>
      </c>
      <c r="G497" s="18"/>
      <c r="H497" s="18"/>
      <c r="I497" s="18"/>
      <c r="J497" s="18"/>
      <c r="K497" s="53">
        <f t="shared" si="35"/>
        <v>155000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620000</v>
      </c>
      <c r="G498" s="204"/>
      <c r="H498" s="204"/>
      <c r="I498" s="204"/>
      <c r="J498" s="204"/>
      <c r="K498" s="205">
        <f t="shared" si="35"/>
        <v>620000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66145.25</v>
      </c>
      <c r="G499" s="18"/>
      <c r="H499" s="18"/>
      <c r="I499" s="18"/>
      <c r="J499" s="18"/>
      <c r="K499" s="53">
        <f t="shared" si="35"/>
        <v>66145.25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686145.25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686145.25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155000</v>
      </c>
      <c r="G501" s="204"/>
      <c r="H501" s="204"/>
      <c r="I501" s="204"/>
      <c r="J501" s="204"/>
      <c r="K501" s="205">
        <f t="shared" si="35"/>
        <v>155000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16778.75+12438.75</f>
        <v>29217.5</v>
      </c>
      <c r="G502" s="18"/>
      <c r="H502" s="18"/>
      <c r="I502" s="18"/>
      <c r="J502" s="18"/>
      <c r="K502" s="53">
        <f t="shared" si="35"/>
        <v>29217.5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184217.5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184217.5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1485035.87</v>
      </c>
      <c r="G523" s="18">
        <v>637997.24</v>
      </c>
      <c r="H523" s="18">
        <v>453957.7</v>
      </c>
      <c r="I523" s="18">
        <v>3259.3</v>
      </c>
      <c r="J523" s="18">
        <v>5335.62</v>
      </c>
      <c r="K523" s="18">
        <v>0</v>
      </c>
      <c r="L523" s="88">
        <f>SUM(F523:K523)</f>
        <v>2585585.7300000004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1485035.87</v>
      </c>
      <c r="G524" s="108">
        <f t="shared" ref="G524:L524" si="36">SUM(G521:G523)</f>
        <v>637997.24</v>
      </c>
      <c r="H524" s="108">
        <f t="shared" si="36"/>
        <v>453957.7</v>
      </c>
      <c r="I524" s="108">
        <f t="shared" si="36"/>
        <v>3259.3</v>
      </c>
      <c r="J524" s="108">
        <f t="shared" si="36"/>
        <v>5335.62</v>
      </c>
      <c r="K524" s="108">
        <f t="shared" si="36"/>
        <v>0</v>
      </c>
      <c r="L524" s="89">
        <f t="shared" si="36"/>
        <v>2585585.7300000004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229575.5</v>
      </c>
      <c r="G528" s="18">
        <v>101746.45</v>
      </c>
      <c r="H528" s="18">
        <v>417829.43</v>
      </c>
      <c r="I528" s="18">
        <v>968.98</v>
      </c>
      <c r="J528" s="18">
        <v>0</v>
      </c>
      <c r="K528" s="18">
        <v>0</v>
      </c>
      <c r="L528" s="88">
        <f>SUM(F528:K528)</f>
        <v>750120.36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229575.5</v>
      </c>
      <c r="G529" s="89">
        <f t="shared" ref="G529:L529" si="37">SUM(G526:G528)</f>
        <v>101746.45</v>
      </c>
      <c r="H529" s="89">
        <f t="shared" si="37"/>
        <v>417829.43</v>
      </c>
      <c r="I529" s="89">
        <f t="shared" si="37"/>
        <v>968.98</v>
      </c>
      <c r="J529" s="89">
        <f t="shared" si="37"/>
        <v>0</v>
      </c>
      <c r="K529" s="89">
        <f t="shared" si="37"/>
        <v>0</v>
      </c>
      <c r="L529" s="89">
        <f t="shared" si="37"/>
        <v>750120.36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12484.54</v>
      </c>
      <c r="I533" s="18"/>
      <c r="J533" s="18"/>
      <c r="K533" s="18"/>
      <c r="L533" s="88">
        <f>SUM(F533:K533)</f>
        <v>12484.54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12484.54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12484.54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3915.9</v>
      </c>
      <c r="I538" s="18"/>
      <c r="J538" s="18"/>
      <c r="K538" s="18"/>
      <c r="L538" s="88">
        <f>SUM(F538:K538)</f>
        <v>3915.9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3915.9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3915.9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125851+973.69+211.41</f>
        <v>127036.1</v>
      </c>
      <c r="I543" s="18"/>
      <c r="J543" s="18"/>
      <c r="K543" s="18"/>
      <c r="L543" s="88">
        <f>SUM(F543:K543)</f>
        <v>127036.1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127036.1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127036.1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1714611.37</v>
      </c>
      <c r="G545" s="89">
        <f t="shared" ref="G545:L545" si="41">G524+G529+G534+G539+G544</f>
        <v>739743.69</v>
      </c>
      <c r="H545" s="89">
        <f t="shared" si="41"/>
        <v>1015223.67</v>
      </c>
      <c r="I545" s="89">
        <f t="shared" si="41"/>
        <v>4228.2800000000007</v>
      </c>
      <c r="J545" s="89">
        <f t="shared" si="41"/>
        <v>5335.62</v>
      </c>
      <c r="K545" s="89">
        <f t="shared" si="41"/>
        <v>0</v>
      </c>
      <c r="L545" s="89">
        <f t="shared" si="41"/>
        <v>3479142.6300000004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2585585.7300000004</v>
      </c>
      <c r="G551" s="87">
        <f>L528</f>
        <v>750120.36</v>
      </c>
      <c r="H551" s="87">
        <f>L533</f>
        <v>12484.54</v>
      </c>
      <c r="I551" s="87">
        <f>L538</f>
        <v>3915.9</v>
      </c>
      <c r="J551" s="87">
        <f>L543</f>
        <v>127036.1</v>
      </c>
      <c r="K551" s="87">
        <f>SUM(F551:J551)</f>
        <v>3479142.6300000004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2585585.7300000004</v>
      </c>
      <c r="G552" s="89">
        <f t="shared" si="42"/>
        <v>750120.36</v>
      </c>
      <c r="H552" s="89">
        <f t="shared" si="42"/>
        <v>12484.54</v>
      </c>
      <c r="I552" s="89">
        <f t="shared" si="42"/>
        <v>3915.9</v>
      </c>
      <c r="J552" s="89">
        <f t="shared" si="42"/>
        <v>127036.1</v>
      </c>
      <c r="K552" s="89">
        <f t="shared" si="42"/>
        <v>3479142.6300000004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>
        <v>776</v>
      </c>
      <c r="I578" s="87">
        <f t="shared" si="47"/>
        <v>776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445523.43</v>
      </c>
      <c r="I582" s="87">
        <f t="shared" si="47"/>
        <v>445523.43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16910.98</v>
      </c>
      <c r="I584" s="87">
        <f t="shared" si="47"/>
        <v>16910.98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v>270197.59000000003</v>
      </c>
      <c r="K591" s="104">
        <f t="shared" ref="K591:K597" si="48">SUM(H591:J591)</f>
        <v>270197.59000000003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f>125851+1185.1</f>
        <v>127036.1</v>
      </c>
      <c r="K592" s="104">
        <f t="shared" si="48"/>
        <v>127036.1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50505</v>
      </c>
      <c r="K593" s="104">
        <f t="shared" si="48"/>
        <v>50505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85424.320000000007</v>
      </c>
      <c r="K594" s="104">
        <f t="shared" si="48"/>
        <v>85424.320000000007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>
        <v>7367.68</v>
      </c>
      <c r="K595" s="104">
        <f t="shared" si="48"/>
        <v>7367.68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540530.69000000006</v>
      </c>
      <c r="K598" s="108">
        <f>SUM(K591:K597)</f>
        <v>540530.69000000006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>
        <v>342992.08</v>
      </c>
      <c r="K604" s="104">
        <f>SUM(H604:J604)</f>
        <v>342992.08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342992.08</v>
      </c>
      <c r="K605" s="108">
        <f>SUM(K602:K604)</f>
        <v>342992.08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18025+17877.67</f>
        <v>35902.67</v>
      </c>
      <c r="G613" s="18">
        <f>3904.15+3604.72</f>
        <v>7508.87</v>
      </c>
      <c r="H613" s="18">
        <v>700</v>
      </c>
      <c r="I613" s="18">
        <v>2282.7800000000002</v>
      </c>
      <c r="J613" s="18">
        <v>8496.9500000000007</v>
      </c>
      <c r="K613" s="18"/>
      <c r="L613" s="88">
        <f>SUM(F613:K613)</f>
        <v>54891.270000000004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35902.67</v>
      </c>
      <c r="G614" s="108">
        <f t="shared" si="49"/>
        <v>7508.87</v>
      </c>
      <c r="H614" s="108">
        <f t="shared" si="49"/>
        <v>700</v>
      </c>
      <c r="I614" s="108">
        <f t="shared" si="49"/>
        <v>2282.7800000000002</v>
      </c>
      <c r="J614" s="108">
        <f t="shared" si="49"/>
        <v>8496.9500000000007</v>
      </c>
      <c r="K614" s="108">
        <f t="shared" si="49"/>
        <v>0</v>
      </c>
      <c r="L614" s="89">
        <f t="shared" si="49"/>
        <v>54891.270000000004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990636.85000000009</v>
      </c>
      <c r="H617" s="109">
        <f>SUM(F52)</f>
        <v>990636.85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16337.17</v>
      </c>
      <c r="H618" s="109">
        <f>SUM(G52)</f>
        <v>16337.170000000002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108674.12000000001</v>
      </c>
      <c r="H619" s="109">
        <f>SUM(H52)</f>
        <v>108674.12000000001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11023.41</v>
      </c>
      <c r="H620" s="109">
        <f>SUM(I52)</f>
        <v>11023.41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668430.81000000006</v>
      </c>
      <c r="H621" s="109">
        <f>SUM(J52)</f>
        <v>668430.81000000006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724959.85</v>
      </c>
      <c r="H622" s="109">
        <f>F476</f>
        <v>724959.84999999776</v>
      </c>
      <c r="I622" s="121" t="s">
        <v>101</v>
      </c>
      <c r="J622" s="109">
        <f t="shared" ref="J622:J655" si="50">G622-H622</f>
        <v>2.2118911147117615E-9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8901.27</v>
      </c>
      <c r="H624" s="109">
        <f>H476</f>
        <v>8901.2700000000186</v>
      </c>
      <c r="I624" s="121" t="s">
        <v>103</v>
      </c>
      <c r="J624" s="109">
        <f t="shared" si="50"/>
        <v>-1.8189894035458565E-11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10973.41</v>
      </c>
      <c r="H625" s="109">
        <f>I476</f>
        <v>10973.410000000033</v>
      </c>
      <c r="I625" s="121" t="s">
        <v>104</v>
      </c>
      <c r="J625" s="109">
        <f t="shared" si="50"/>
        <v>-3.2741809263825417E-11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507345.46</v>
      </c>
      <c r="H626" s="109">
        <f>J476</f>
        <v>507345.45999999996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16526649.529999999</v>
      </c>
      <c r="H627" s="104">
        <f>SUM(F468)</f>
        <v>16526649.529999999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388587.72000000003</v>
      </c>
      <c r="H628" s="104">
        <f>SUM(G468)</f>
        <v>388587.72000000003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396891.72000000003</v>
      </c>
      <c r="H629" s="104">
        <f>SUM(H468)</f>
        <v>396891.72000000003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832227.75</v>
      </c>
      <c r="H630" s="104">
        <f>SUM(I468)</f>
        <v>832227.75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48919.42</v>
      </c>
      <c r="H631" s="104">
        <f>SUM(J468)</f>
        <v>48919.42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16411609.34</v>
      </c>
      <c r="H632" s="104">
        <f>SUM(F472)</f>
        <v>16411609.34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387990.45</v>
      </c>
      <c r="H633" s="104">
        <f>SUM(H472)</f>
        <v>387990.45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148559.01</v>
      </c>
      <c r="H634" s="104">
        <f>I369</f>
        <v>148559.01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388587.72000000003</v>
      </c>
      <c r="H635" s="104">
        <f>SUM(G472)</f>
        <v>388587.72000000003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853440.25</v>
      </c>
      <c r="H636" s="104">
        <f>SUM(I472)</f>
        <v>853440.25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48919.420000000006</v>
      </c>
      <c r="H637" s="164">
        <f>SUM(J468)</f>
        <v>48919.42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5525.93</v>
      </c>
      <c r="H638" s="164">
        <f>SUM(J472)</f>
        <v>5525.93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506930.77</v>
      </c>
      <c r="H640" s="104">
        <f>SUM(G461)</f>
        <v>506930.77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161500.04</v>
      </c>
      <c r="H641" s="104">
        <f>SUM(H461)</f>
        <v>161500.04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668430.81000000006</v>
      </c>
      <c r="H642" s="104">
        <f>SUM(I461)</f>
        <v>668430.81000000006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-21606.51</v>
      </c>
      <c r="H644" s="104">
        <f>H408</f>
        <v>-21606.510000000002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65000</v>
      </c>
      <c r="H645" s="104">
        <f>G408</f>
        <v>65000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48919.42</v>
      </c>
      <c r="H646" s="104">
        <f>L408</f>
        <v>48919.420000000006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540530.69000000006</v>
      </c>
      <c r="H647" s="104">
        <f>L208+L226+L244</f>
        <v>540530.69000000006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342992.08</v>
      </c>
      <c r="H648" s="104">
        <f>(J257+J338)-(J255+J336)</f>
        <v>342992.08000000007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540530.69000000006</v>
      </c>
      <c r="H651" s="104">
        <f>J598</f>
        <v>540530.69000000006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10322.540000000001</v>
      </c>
      <c r="H652" s="104">
        <f>K263+K345</f>
        <v>10322.540000000001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65000</v>
      </c>
      <c r="H655" s="104">
        <f>K266+K347</f>
        <v>65000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16776460.039999999</v>
      </c>
      <c r="I660" s="19">
        <f>SUM(F660:H660)</f>
        <v>16776460.039999999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358403.77</v>
      </c>
      <c r="I661" s="19">
        <f>SUM(F661:H661)</f>
        <v>358403.77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540530.69000000006</v>
      </c>
      <c r="I662" s="19">
        <f>SUM(F662:H662)</f>
        <v>540530.69000000006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861093.76</v>
      </c>
      <c r="I663" s="19">
        <f>SUM(F663:H663)</f>
        <v>861093.76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15016431.819999998</v>
      </c>
      <c r="I664" s="19">
        <f>I660-SUM(I661:I663)</f>
        <v>15016431.819999998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830.33</v>
      </c>
      <c r="I665" s="19">
        <f>SUM(F665:H665)</f>
        <v>830.33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18084.900000000001</v>
      </c>
      <c r="I667" s="19">
        <f>ROUND(I664/I665,2)</f>
        <v>18084.900000000001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-5.05</v>
      </c>
      <c r="I670" s="19">
        <f>SUM(F670:H670)</f>
        <v>-5.05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18195.560000000001</v>
      </c>
      <c r="I672" s="19">
        <f>ROUND((I664+I669)/(I665+I670),2)</f>
        <v>18195.560000000001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Souhegan Cooperative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4902688.4000000004</v>
      </c>
      <c r="C9" s="229">
        <f>'DOE25'!G197+'DOE25'!G215+'DOE25'!G233+'DOE25'!G276+'DOE25'!G295+'DOE25'!G314</f>
        <v>2021684.76</v>
      </c>
    </row>
    <row r="10" spans="1:3" x14ac:dyDescent="0.2">
      <c r="A10" t="s">
        <v>778</v>
      </c>
      <c r="B10" s="240">
        <f>4734930.54+18</f>
        <v>4734948.54</v>
      </c>
      <c r="C10" s="240">
        <v>1952515.13</v>
      </c>
    </row>
    <row r="11" spans="1:3" x14ac:dyDescent="0.2">
      <c r="A11" t="s">
        <v>779</v>
      </c>
      <c r="B11" s="240">
        <v>41278.78</v>
      </c>
      <c r="C11" s="240">
        <v>17021.82</v>
      </c>
    </row>
    <row r="12" spans="1:3" x14ac:dyDescent="0.2">
      <c r="A12" t="s">
        <v>780</v>
      </c>
      <c r="B12" s="240">
        <v>126461.08</v>
      </c>
      <c r="C12" s="240">
        <v>52147.81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4902688.4000000004</v>
      </c>
      <c r="C13" s="231">
        <f>SUM(C10:C12)</f>
        <v>2021684.76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1485035.87</v>
      </c>
      <c r="C18" s="229">
        <f>'DOE25'!G198+'DOE25'!G216+'DOE25'!G234+'DOE25'!G277+'DOE25'!G296+'DOE25'!G315</f>
        <v>637997.24</v>
      </c>
    </row>
    <row r="19" spans="1:3" x14ac:dyDescent="0.2">
      <c r="A19" t="s">
        <v>778</v>
      </c>
      <c r="B19" s="240">
        <f>875860.16+3429.49</f>
        <v>879289.65</v>
      </c>
      <c r="C19" s="240">
        <v>377758.13</v>
      </c>
    </row>
    <row r="20" spans="1:3" x14ac:dyDescent="0.2">
      <c r="A20" t="s">
        <v>779</v>
      </c>
      <c r="B20" s="240">
        <v>556721.79</v>
      </c>
      <c r="C20" s="240">
        <v>239177.36</v>
      </c>
    </row>
    <row r="21" spans="1:3" x14ac:dyDescent="0.2">
      <c r="A21" t="s">
        <v>780</v>
      </c>
      <c r="B21" s="240">
        <v>49024.43</v>
      </c>
      <c r="C21" s="240">
        <v>21061.75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1485035.8699999999</v>
      </c>
      <c r="C22" s="231">
        <f>SUM(C19:C21)</f>
        <v>637997.24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296801.08</v>
      </c>
      <c r="C36" s="235">
        <f>'DOE25'!G200+'DOE25'!G218+'DOE25'!G236+'DOE25'!G279+'DOE25'!G298+'DOE25'!G317</f>
        <v>59742.720000000001</v>
      </c>
    </row>
    <row r="37" spans="1:3" x14ac:dyDescent="0.2">
      <c r="A37" t="s">
        <v>778</v>
      </c>
      <c r="B37" s="240">
        <f>149961.74+2072.32</f>
        <v>152034.06</v>
      </c>
      <c r="C37" s="240">
        <f>40514.67+483.67</f>
        <v>40998.339999999997</v>
      </c>
    </row>
    <row r="38" spans="1:3" x14ac:dyDescent="0.2">
      <c r="A38" t="s">
        <v>779</v>
      </c>
      <c r="B38" s="240">
        <v>25</v>
      </c>
      <c r="C38" s="240">
        <v>4.72</v>
      </c>
    </row>
    <row r="39" spans="1:3" x14ac:dyDescent="0.2">
      <c r="A39" t="s">
        <v>780</v>
      </c>
      <c r="B39" s="240">
        <v>144742.01999999999</v>
      </c>
      <c r="C39" s="240">
        <v>18739.66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296801.07999999996</v>
      </c>
      <c r="C40" s="231">
        <f>SUM(C37:C39)</f>
        <v>59742.720000000001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Souhegan Cooperative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10185322.539999999</v>
      </c>
      <c r="D5" s="20">
        <f>SUM('DOE25'!L197:L200)+SUM('DOE25'!L215:L218)+SUM('DOE25'!L233:L236)-F5-G5</f>
        <v>9912350.6999999993</v>
      </c>
      <c r="E5" s="243"/>
      <c r="F5" s="255">
        <f>SUM('DOE25'!J197:J200)+SUM('DOE25'!J215:J218)+SUM('DOE25'!J233:J236)</f>
        <v>248096.84000000003</v>
      </c>
      <c r="G5" s="53">
        <f>SUM('DOE25'!K197:K200)+SUM('DOE25'!K215:K218)+SUM('DOE25'!K233:K236)</f>
        <v>24875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1691214.2699999998</v>
      </c>
      <c r="D6" s="20">
        <f>'DOE25'!L202+'DOE25'!L220+'DOE25'!L238-F6-G6</f>
        <v>1689319.2699999998</v>
      </c>
      <c r="E6" s="243"/>
      <c r="F6" s="255">
        <f>'DOE25'!J202+'DOE25'!J220+'DOE25'!J238</f>
        <v>455</v>
      </c>
      <c r="G6" s="53">
        <f>'DOE25'!K202+'DOE25'!K220+'DOE25'!K238</f>
        <v>1440</v>
      </c>
      <c r="H6" s="259"/>
    </row>
    <row r="7" spans="1:9" x14ac:dyDescent="0.2">
      <c r="A7" s="32">
        <v>2200</v>
      </c>
      <c r="B7" t="s">
        <v>833</v>
      </c>
      <c r="C7" s="245">
        <f t="shared" si="0"/>
        <v>521139.3</v>
      </c>
      <c r="D7" s="20">
        <f>'DOE25'!L203+'DOE25'!L221+'DOE25'!L239-F7-G7</f>
        <v>518814.55</v>
      </c>
      <c r="E7" s="243"/>
      <c r="F7" s="255">
        <f>'DOE25'!J203+'DOE25'!J221+'DOE25'!J239</f>
        <v>2004.75</v>
      </c>
      <c r="G7" s="53">
        <f>'DOE25'!K203+'DOE25'!K221+'DOE25'!K239</f>
        <v>320</v>
      </c>
      <c r="H7" s="259"/>
    </row>
    <row r="8" spans="1:9" x14ac:dyDescent="0.2">
      <c r="A8" s="32">
        <v>2300</v>
      </c>
      <c r="B8" t="s">
        <v>801</v>
      </c>
      <c r="C8" s="245">
        <f t="shared" si="0"/>
        <v>834193.42</v>
      </c>
      <c r="D8" s="243"/>
      <c r="E8" s="20">
        <f>'DOE25'!L204+'DOE25'!L222+'DOE25'!L240-F8-G8-D9-D11</f>
        <v>829702.54</v>
      </c>
      <c r="F8" s="255">
        <f>'DOE25'!J204+'DOE25'!J222+'DOE25'!J240</f>
        <v>0</v>
      </c>
      <c r="G8" s="53">
        <f>'DOE25'!K204+'DOE25'!K222+'DOE25'!K240</f>
        <v>4490.88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709969.29999999993</v>
      </c>
      <c r="D12" s="20">
        <f>'DOE25'!L205+'DOE25'!L223+'DOE25'!L241-F12-G12</f>
        <v>691917.1</v>
      </c>
      <c r="E12" s="243"/>
      <c r="F12" s="255">
        <f>'DOE25'!J205+'DOE25'!J223+'DOE25'!J241</f>
        <v>0</v>
      </c>
      <c r="G12" s="53">
        <f>'DOE25'!K205+'DOE25'!K223+'DOE25'!K241</f>
        <v>18052.2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2868.45</v>
      </c>
      <c r="D13" s="243"/>
      <c r="E13" s="20">
        <f>'DOE25'!L206+'DOE25'!L224+'DOE25'!L242-F13-G13</f>
        <v>2868.45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1163260.55</v>
      </c>
      <c r="D14" s="20">
        <f>'DOE25'!L207+'DOE25'!L225+'DOE25'!L243-F14-G14</f>
        <v>1125835.78</v>
      </c>
      <c r="E14" s="243"/>
      <c r="F14" s="255">
        <f>'DOE25'!J207+'DOE25'!J225+'DOE25'!J243</f>
        <v>37377.769999999997</v>
      </c>
      <c r="G14" s="53">
        <f>'DOE25'!K207+'DOE25'!K225+'DOE25'!K243</f>
        <v>47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540530.69000000006</v>
      </c>
      <c r="D15" s="20">
        <f>'DOE25'!L208+'DOE25'!L226+'DOE25'!L244-F15-G15</f>
        <v>540530.69000000006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351383.35</v>
      </c>
      <c r="D16" s="243"/>
      <c r="E16" s="20">
        <f>'DOE25'!L209+'DOE25'!L227+'DOE25'!L245-F16-G16</f>
        <v>304822.57999999996</v>
      </c>
      <c r="F16" s="255">
        <f>'DOE25'!J209+'DOE25'!J227+'DOE25'!J245</f>
        <v>46560.77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143507.43</v>
      </c>
      <c r="D22" s="243"/>
      <c r="E22" s="243"/>
      <c r="F22" s="255">
        <f>'DOE25'!L255+'DOE25'!L336</f>
        <v>143507.43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192897.5</v>
      </c>
      <c r="D25" s="243"/>
      <c r="E25" s="243"/>
      <c r="F25" s="258"/>
      <c r="G25" s="256"/>
      <c r="H25" s="257">
        <f>'DOE25'!L260+'DOE25'!L261+'DOE25'!L341+'DOE25'!L342</f>
        <v>192897.5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251675.78000000003</v>
      </c>
      <c r="D29" s="20">
        <f>'DOE25'!L358+'DOE25'!L359+'DOE25'!L360-'DOE25'!I367-F29-G29</f>
        <v>249675.13000000003</v>
      </c>
      <c r="E29" s="243"/>
      <c r="F29" s="255">
        <f>'DOE25'!J358+'DOE25'!J359+'DOE25'!J360</f>
        <v>1941</v>
      </c>
      <c r="G29" s="53">
        <f>'DOE25'!K358+'DOE25'!K359+'DOE25'!K360</f>
        <v>59.65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387990.45</v>
      </c>
      <c r="D31" s="20">
        <f>'DOE25'!L290+'DOE25'!L309+'DOE25'!L328+'DOE25'!L333+'DOE25'!L334+'DOE25'!L335-F31-G31</f>
        <v>378843.5</v>
      </c>
      <c r="E31" s="243"/>
      <c r="F31" s="255">
        <f>'DOE25'!J290+'DOE25'!J309+'DOE25'!J328+'DOE25'!J333+'DOE25'!J334+'DOE25'!J335</f>
        <v>8496.9500000000007</v>
      </c>
      <c r="G31" s="53">
        <f>'DOE25'!K290+'DOE25'!K309+'DOE25'!K328+'DOE25'!K333+'DOE25'!K334+'DOE25'!K335</f>
        <v>650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15107286.719999999</v>
      </c>
      <c r="E33" s="246">
        <f>SUM(E5:E31)</f>
        <v>1137393.5699999998</v>
      </c>
      <c r="F33" s="246">
        <f>SUM(F5:F31)</f>
        <v>488440.51000000007</v>
      </c>
      <c r="G33" s="246">
        <f>SUM(G5:G31)</f>
        <v>49934.73</v>
      </c>
      <c r="H33" s="246">
        <f>SUM(H5:H31)</f>
        <v>192897.5</v>
      </c>
    </row>
    <row r="35" spans="2:8" ht="12" thickBot="1" x14ac:dyDescent="0.25">
      <c r="B35" s="253" t="s">
        <v>846</v>
      </c>
      <c r="D35" s="254">
        <f>E33</f>
        <v>1137393.5699999998</v>
      </c>
      <c r="E35" s="249"/>
    </row>
    <row r="36" spans="2:8" ht="12" thickTop="1" x14ac:dyDescent="0.2">
      <c r="B36" t="s">
        <v>814</v>
      </c>
      <c r="D36" s="20">
        <f>D33</f>
        <v>15107286.719999999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4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-229414.76</v>
      </c>
      <c r="D8" s="95">
        <f>'DOE25'!G9</f>
        <v>800</v>
      </c>
      <c r="E8" s="95">
        <f>'DOE25'!H9</f>
        <v>8901.27</v>
      </c>
      <c r="F8" s="95">
        <f>'DOE25'!I9</f>
        <v>11023.41</v>
      </c>
      <c r="G8" s="95">
        <f>'DOE25'!J9</f>
        <v>161085.35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1109023.82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91872.25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19155.54</v>
      </c>
      <c r="D12" s="95">
        <f>'DOE25'!G13</f>
        <v>14867.99</v>
      </c>
      <c r="E12" s="95">
        <f>'DOE25'!H13</f>
        <v>99772.85</v>
      </c>
      <c r="F12" s="95">
        <f>'DOE25'!I13</f>
        <v>0</v>
      </c>
      <c r="G12" s="95">
        <f>'DOE25'!J13</f>
        <v>507345.46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669.18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990636.85000000009</v>
      </c>
      <c r="D18" s="41">
        <f>SUM(D8:D17)</f>
        <v>16337.17</v>
      </c>
      <c r="E18" s="41">
        <f>SUM(E8:E17)</f>
        <v>108674.12000000001</v>
      </c>
      <c r="F18" s="41">
        <f>SUM(F8:F17)</f>
        <v>11023.41</v>
      </c>
      <c r="G18" s="41">
        <f>SUM(G8:G17)</f>
        <v>668430.81000000006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562</v>
      </c>
      <c r="E21" s="95">
        <f>'DOE25'!H22</f>
        <v>91674.94</v>
      </c>
      <c r="F21" s="95">
        <f>'DOE25'!I22</f>
        <v>50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174984.62</v>
      </c>
      <c r="D23" s="95">
        <f>'DOE25'!G24</f>
        <v>1507.39</v>
      </c>
      <c r="E23" s="95">
        <f>'DOE25'!H24</f>
        <v>38.729999999999997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52792.52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28517.85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9382.01</v>
      </c>
      <c r="D29" s="95">
        <f>'DOE25'!G30</f>
        <v>14267.78</v>
      </c>
      <c r="E29" s="95">
        <f>'DOE25'!H30</f>
        <v>8059.18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161085.35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265677</v>
      </c>
      <c r="D31" s="41">
        <f>SUM(D21:D30)</f>
        <v>16337.170000000002</v>
      </c>
      <c r="E31" s="41">
        <f>SUM(E21:E30)</f>
        <v>99772.85</v>
      </c>
      <c r="F31" s="41">
        <f>SUM(F21:F30)</f>
        <v>50</v>
      </c>
      <c r="G31" s="41">
        <f>SUM(G21:G30)</f>
        <v>161085.35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8901.27</v>
      </c>
      <c r="F47" s="95">
        <f>'DOE25'!I48</f>
        <v>10973.41</v>
      </c>
      <c r="G47" s="95">
        <f>'DOE25'!J48</f>
        <v>507345.46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659959.85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724959.85</v>
      </c>
      <c r="D50" s="41">
        <f>SUM(D34:D49)</f>
        <v>0</v>
      </c>
      <c r="E50" s="41">
        <f>SUM(E34:E49)</f>
        <v>8901.27</v>
      </c>
      <c r="F50" s="41">
        <f>SUM(F34:F49)</f>
        <v>10973.41</v>
      </c>
      <c r="G50" s="41">
        <f>SUM(G34:G49)</f>
        <v>507345.46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990636.85</v>
      </c>
      <c r="D51" s="41">
        <f>D50+D31</f>
        <v>16337.170000000002</v>
      </c>
      <c r="E51" s="41">
        <f>E50+E31</f>
        <v>108674.12000000001</v>
      </c>
      <c r="F51" s="41">
        <f>F50+F31</f>
        <v>11023.41</v>
      </c>
      <c r="G51" s="41">
        <f>G50+G31</f>
        <v>668430.81000000006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12339563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125817.62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5361.22</v>
      </c>
      <c r="D59" s="95">
        <f>'DOE25'!G96</f>
        <v>0</v>
      </c>
      <c r="E59" s="95">
        <f>'DOE25'!H96</f>
        <v>0</v>
      </c>
      <c r="F59" s="95">
        <f>'DOE25'!I96</f>
        <v>37.5</v>
      </c>
      <c r="G59" s="95">
        <f>'DOE25'!J96</f>
        <v>-21606.51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356799.89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140902.51999999999</v>
      </c>
      <c r="D61" s="95">
        <f>SUM('DOE25'!G98:G110)</f>
        <v>1603.88</v>
      </c>
      <c r="E61" s="95">
        <f>SUM('DOE25'!H98:H110)</f>
        <v>21038.690000000002</v>
      </c>
      <c r="F61" s="95">
        <f>SUM('DOE25'!I98:I110)</f>
        <v>832190.25</v>
      </c>
      <c r="G61" s="95">
        <f>SUM('DOE25'!J98:J110)</f>
        <v>5525.93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272081.36</v>
      </c>
      <c r="D62" s="130">
        <f>SUM(D57:D61)</f>
        <v>358403.77</v>
      </c>
      <c r="E62" s="130">
        <f>SUM(E57:E61)</f>
        <v>21038.690000000002</v>
      </c>
      <c r="F62" s="130">
        <f>SUM(F57:F61)</f>
        <v>832227.75</v>
      </c>
      <c r="G62" s="130">
        <f>SUM(G57:G61)</f>
        <v>-16080.579999999998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12611644.359999999</v>
      </c>
      <c r="D63" s="22">
        <f>D56+D62</f>
        <v>358403.77</v>
      </c>
      <c r="E63" s="22">
        <f>E56+E62</f>
        <v>21038.690000000002</v>
      </c>
      <c r="F63" s="22">
        <f>F56+F62</f>
        <v>832227.75</v>
      </c>
      <c r="G63" s="22">
        <f>G56+G62</f>
        <v>-16080.579999999998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1749752.56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1596386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3346138.56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452140.71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4525.7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944.94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456666.41000000003</v>
      </c>
      <c r="D78" s="130">
        <f>SUM(D72:D77)</f>
        <v>944.94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3802804.97</v>
      </c>
      <c r="D81" s="130">
        <f>SUM(D79:D80)+D78+D70</f>
        <v>944.94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112200.2</v>
      </c>
      <c r="D88" s="95">
        <f>SUM('DOE25'!G153:G161)</f>
        <v>18916.47</v>
      </c>
      <c r="E88" s="95">
        <f>SUM('DOE25'!H153:H161)</f>
        <v>375853.03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112200.2</v>
      </c>
      <c r="D91" s="131">
        <f>SUM(D85:D90)</f>
        <v>18916.47</v>
      </c>
      <c r="E91" s="131">
        <f>SUM(E85:E90)</f>
        <v>375853.03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10322.540000000001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10322.540000000001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764</v>
      </c>
      <c r="C104" s="86">
        <f>C63+C81+C91+C103</f>
        <v>16526649.529999999</v>
      </c>
      <c r="D104" s="86">
        <f>D63+D81+D91+D103</f>
        <v>388587.72000000003</v>
      </c>
      <c r="E104" s="86">
        <f>E63+E81+E91+E103</f>
        <v>396891.72000000003</v>
      </c>
      <c r="F104" s="86">
        <f>F63+F81+F91+F103</f>
        <v>832227.75</v>
      </c>
      <c r="G104" s="86">
        <f>G63+G81+G103</f>
        <v>48919.42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7233309.7799999993</v>
      </c>
      <c r="D109" s="24" t="s">
        <v>288</v>
      </c>
      <c r="E109" s="95">
        <f>('DOE25'!L276)+('DOE25'!L295)+('DOE25'!L314)</f>
        <v>38274.79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2319273.71</v>
      </c>
      <c r="D110" s="24" t="s">
        <v>288</v>
      </c>
      <c r="E110" s="95">
        <f>('DOE25'!L277)+('DOE25'!L296)+('DOE25'!L315)</f>
        <v>266312.02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16910.98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615828.07000000007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10185322.539999999</v>
      </c>
      <c r="D115" s="86">
        <f>SUM(D109:D114)</f>
        <v>0</v>
      </c>
      <c r="E115" s="86">
        <f>SUM(E109:E114)</f>
        <v>304586.81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1691214.2699999998</v>
      </c>
      <c r="D118" s="24" t="s">
        <v>288</v>
      </c>
      <c r="E118" s="95">
        <f>+('DOE25'!L281)+('DOE25'!L300)+('DOE25'!L319)</f>
        <v>48087.460000000006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521139.3</v>
      </c>
      <c r="D119" s="24" t="s">
        <v>288</v>
      </c>
      <c r="E119" s="95">
        <f>+('DOE25'!L282)+('DOE25'!L301)+('DOE25'!L320)</f>
        <v>22439.85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834193.42</v>
      </c>
      <c r="D120" s="24" t="s">
        <v>288</v>
      </c>
      <c r="E120" s="95">
        <f>+('DOE25'!L283)+('DOE25'!L302)+('DOE25'!L321)</f>
        <v>175.57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709969.29999999993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2868.45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1163260.55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540530.69000000006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351383.35</v>
      </c>
      <c r="D125" s="24" t="s">
        <v>288</v>
      </c>
      <c r="E125" s="95">
        <f>+('DOE25'!L288)+('DOE25'!L307)+('DOE25'!L326)</f>
        <v>12700.76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388587.72000000003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5814559.3300000001</v>
      </c>
      <c r="D128" s="86">
        <f>SUM(D118:D127)</f>
        <v>388587.72000000003</v>
      </c>
      <c r="E128" s="86">
        <f>SUM(E118:E127)</f>
        <v>83403.64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143507.43</v>
      </c>
      <c r="D130" s="24" t="s">
        <v>288</v>
      </c>
      <c r="E130" s="129">
        <f>'DOE25'!L336</f>
        <v>0</v>
      </c>
      <c r="F130" s="129">
        <f>SUM('DOE25'!L374:'DOE25'!L380)</f>
        <v>853440.25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155000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37897.5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10322.540000000001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43393.490000000005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5525.93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16080.579999999994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411727.47</v>
      </c>
      <c r="D144" s="141">
        <f>SUM(D130:D143)</f>
        <v>0</v>
      </c>
      <c r="E144" s="141">
        <f>SUM(E130:E143)</f>
        <v>0</v>
      </c>
      <c r="F144" s="141">
        <f>SUM(F130:F143)</f>
        <v>853440.25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16411609.34</v>
      </c>
      <c r="D145" s="86">
        <f>(D115+D128+D144)</f>
        <v>388587.72000000003</v>
      </c>
      <c r="E145" s="86">
        <f>(E115+E128+E144)</f>
        <v>387990.45</v>
      </c>
      <c r="F145" s="86">
        <f>(F115+F128+F144)</f>
        <v>853440.25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1090000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775000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155000</v>
      </c>
    </row>
    <row r="159" spans="1:9" x14ac:dyDescent="0.2">
      <c r="A159" s="22" t="s">
        <v>35</v>
      </c>
      <c r="B159" s="137">
        <f>'DOE25'!F498</f>
        <v>620000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620000</v>
      </c>
    </row>
    <row r="160" spans="1:9" x14ac:dyDescent="0.2">
      <c r="A160" s="22" t="s">
        <v>36</v>
      </c>
      <c r="B160" s="137">
        <f>'DOE25'!F499</f>
        <v>66145.25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66145.25</v>
      </c>
    </row>
    <row r="161" spans="1:7" x14ac:dyDescent="0.2">
      <c r="A161" s="22" t="s">
        <v>37</v>
      </c>
      <c r="B161" s="137">
        <f>'DOE25'!F500</f>
        <v>686145.25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686145.25</v>
      </c>
    </row>
    <row r="162" spans="1:7" x14ac:dyDescent="0.2">
      <c r="A162" s="22" t="s">
        <v>38</v>
      </c>
      <c r="B162" s="137">
        <f>'DOE25'!F501</f>
        <v>155000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155000</v>
      </c>
    </row>
    <row r="163" spans="1:7" x14ac:dyDescent="0.2">
      <c r="A163" s="22" t="s">
        <v>39</v>
      </c>
      <c r="B163" s="137">
        <f>'DOE25'!F502</f>
        <v>29217.5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29217.5</v>
      </c>
    </row>
    <row r="164" spans="1:7" x14ac:dyDescent="0.2">
      <c r="A164" s="22" t="s">
        <v>246</v>
      </c>
      <c r="B164" s="137">
        <f>'DOE25'!F503</f>
        <v>184217.5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184217.5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Souhegan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18196</v>
      </c>
    </row>
    <row r="7" spans="1:4" x14ac:dyDescent="0.2">
      <c r="B7" t="s">
        <v>704</v>
      </c>
      <c r="C7" s="179">
        <f>IF('DOE25'!I665+'DOE25'!I670=0,0,ROUND('DOE25'!I672,0))</f>
        <v>18196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7271585</v>
      </c>
      <c r="D10" s="182">
        <f>ROUND((C10/$C$28)*100,1)</f>
        <v>44.2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2585586</v>
      </c>
      <c r="D11" s="182">
        <f>ROUND((C11/$C$28)*100,1)</f>
        <v>15.7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16911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615828</v>
      </c>
      <c r="D13" s="182">
        <f>ROUND((C13/$C$28)*100,1)</f>
        <v>3.7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1739302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543579</v>
      </c>
      <c r="D16" s="182">
        <f t="shared" si="0"/>
        <v>3.3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1198453</v>
      </c>
      <c r="D17" s="182">
        <f t="shared" si="0"/>
        <v>7.3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709969</v>
      </c>
      <c r="D18" s="182">
        <f t="shared" si="0"/>
        <v>4.3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2868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1163261</v>
      </c>
      <c r="D20" s="182">
        <f t="shared" si="0"/>
        <v>7.1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540531</v>
      </c>
      <c r="D21" s="182">
        <f t="shared" si="0"/>
        <v>3.3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37898</v>
      </c>
      <c r="D25" s="182">
        <f t="shared" si="0"/>
        <v>0.2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30184.229999999981</v>
      </c>
      <c r="D27" s="182">
        <f t="shared" si="0"/>
        <v>0.2</v>
      </c>
    </row>
    <row r="28" spans="1:4" x14ac:dyDescent="0.2">
      <c r="B28" s="187" t="s">
        <v>722</v>
      </c>
      <c r="C28" s="180">
        <f>SUM(C10:C27)</f>
        <v>16455955.23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996948</v>
      </c>
    </row>
    <row r="30" spans="1:4" x14ac:dyDescent="0.2">
      <c r="B30" s="187" t="s">
        <v>728</v>
      </c>
      <c r="C30" s="180">
        <f>SUM(C28:C29)</f>
        <v>17452903.23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155000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12339563</v>
      </c>
      <c r="D35" s="182">
        <f t="shared" ref="D35:D40" si="1">ROUND((C35/$C$41)*100,1)</f>
        <v>69.5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1109267.2199999988</v>
      </c>
      <c r="D36" s="182">
        <f t="shared" si="1"/>
        <v>6.2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3346139</v>
      </c>
      <c r="D37" s="182">
        <f t="shared" si="1"/>
        <v>18.8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457611</v>
      </c>
      <c r="D38" s="182">
        <f t="shared" si="1"/>
        <v>2.6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506970</v>
      </c>
      <c r="D39" s="182">
        <f t="shared" si="1"/>
        <v>2.9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17759550.219999999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Souhegan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2017-08-31T12:58:49Z</cp:lastPrinted>
  <dcterms:created xsi:type="dcterms:W3CDTF">1997-12-04T19:04:30Z</dcterms:created>
  <dcterms:modified xsi:type="dcterms:W3CDTF">2017-11-29T18:03:18Z</dcterms:modified>
</cp:coreProperties>
</file>