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22635" windowHeight="1125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521" i="1" l="1"/>
  <c r="F521" i="1"/>
  <c r="C20" i="12"/>
  <c r="C21" i="12"/>
  <c r="G531" i="1"/>
  <c r="K209" i="1"/>
  <c r="G203" i="1"/>
  <c r="J203" i="1" l="1"/>
  <c r="H604" i="1"/>
  <c r="B21" i="12"/>
  <c r="B20" i="12"/>
  <c r="H521" i="1"/>
  <c r="F531" i="1"/>
  <c r="I203" i="1"/>
  <c r="H208" i="1"/>
  <c r="H207" i="1"/>
  <c r="H204" i="1"/>
  <c r="H203" i="1"/>
  <c r="H202" i="1"/>
  <c r="F203" i="1"/>
  <c r="F202" i="1"/>
  <c r="F48" i="1"/>
  <c r="F29" i="1"/>
  <c r="F9" i="1"/>
  <c r="H472" i="1"/>
  <c r="H468" i="1"/>
  <c r="H276" i="1"/>
  <c r="H155" i="1"/>
  <c r="H159" i="1"/>
  <c r="G396" i="1"/>
  <c r="H400" i="1"/>
  <c r="H396" i="1"/>
  <c r="G472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E8" i="13" s="1"/>
  <c r="C8" i="13" s="1"/>
  <c r="L222" i="1"/>
  <c r="L240" i="1"/>
  <c r="D39" i="13"/>
  <c r="F13" i="13"/>
  <c r="G13" i="13"/>
  <c r="L206" i="1"/>
  <c r="L224" i="1"/>
  <c r="L242" i="1"/>
  <c r="F16" i="13"/>
  <c r="G16" i="13"/>
  <c r="L209" i="1"/>
  <c r="C125" i="2" s="1"/>
  <c r="L227" i="1"/>
  <c r="L245" i="1"/>
  <c r="F5" i="13"/>
  <c r="G5" i="13"/>
  <c r="L197" i="1"/>
  <c r="L198" i="1"/>
  <c r="L199" i="1"/>
  <c r="L200" i="1"/>
  <c r="C13" i="10" s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C16" i="10" s="1"/>
  <c r="L221" i="1"/>
  <c r="L239" i="1"/>
  <c r="F12" i="13"/>
  <c r="G12" i="13"/>
  <c r="L205" i="1"/>
  <c r="C18" i="10" s="1"/>
  <c r="L223" i="1"/>
  <c r="L241" i="1"/>
  <c r="F14" i="13"/>
  <c r="G14" i="13"/>
  <c r="L207" i="1"/>
  <c r="C123" i="2" s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E109" i="2" s="1"/>
  <c r="L277" i="1"/>
  <c r="L278" i="1"/>
  <c r="L279" i="1"/>
  <c r="L281" i="1"/>
  <c r="L282" i="1"/>
  <c r="L283" i="1"/>
  <c r="E120" i="2" s="1"/>
  <c r="E128" i="2" s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3" i="1" s="1"/>
  <c r="C138" i="2" s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C12" i="10"/>
  <c r="C15" i="10"/>
  <c r="C19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F552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I552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C62" i="2" s="1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E119" i="2"/>
  <c r="E121" i="2"/>
  <c r="C122" i="2"/>
  <c r="E122" i="2"/>
  <c r="E123" i="2"/>
  <c r="C124" i="2"/>
  <c r="E124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G619" i="1" s="1"/>
  <c r="I19" i="1"/>
  <c r="F32" i="1"/>
  <c r="F52" i="1" s="1"/>
  <c r="G32" i="1"/>
  <c r="G52" i="1" s="1"/>
  <c r="H618" i="1" s="1"/>
  <c r="H32" i="1"/>
  <c r="I32" i="1"/>
  <c r="H617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F192" i="1" s="1"/>
  <c r="G188" i="1"/>
  <c r="H188" i="1"/>
  <c r="I188" i="1"/>
  <c r="F211" i="1"/>
  <c r="F257" i="1" s="1"/>
  <c r="F271" i="1" s="1"/>
  <c r="G211" i="1"/>
  <c r="H211" i="1"/>
  <c r="I211" i="1"/>
  <c r="I257" i="1" s="1"/>
  <c r="I271" i="1" s="1"/>
  <c r="J211" i="1"/>
  <c r="K211" i="1"/>
  <c r="K257" i="1" s="1"/>
  <c r="K271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F338" i="1" s="1"/>
  <c r="F352" i="1" s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H408" i="1" s="1"/>
  <c r="H644" i="1" s="1"/>
  <c r="I401" i="1"/>
  <c r="F407" i="1"/>
  <c r="G407" i="1"/>
  <c r="H407" i="1"/>
  <c r="I407" i="1"/>
  <c r="F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I446" i="1"/>
  <c r="G642" i="1" s="1"/>
  <c r="F452" i="1"/>
  <c r="G452" i="1"/>
  <c r="H452" i="1"/>
  <c r="I452" i="1"/>
  <c r="F460" i="1"/>
  <c r="G460" i="1"/>
  <c r="H460" i="1"/>
  <c r="I460" i="1"/>
  <c r="I461" i="1" s="1"/>
  <c r="H642" i="1" s="1"/>
  <c r="F461" i="1"/>
  <c r="G461" i="1"/>
  <c r="H461" i="1"/>
  <c r="F470" i="1"/>
  <c r="G470" i="1"/>
  <c r="H470" i="1"/>
  <c r="H476" i="1" s="1"/>
  <c r="H624" i="1" s="1"/>
  <c r="J624" i="1" s="1"/>
  <c r="I470" i="1"/>
  <c r="J470" i="1"/>
  <c r="F474" i="1"/>
  <c r="G474" i="1"/>
  <c r="H474" i="1"/>
  <c r="I474" i="1"/>
  <c r="J474" i="1"/>
  <c r="J476" i="1" s="1"/>
  <c r="H626" i="1" s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F539" i="1"/>
  <c r="G539" i="1"/>
  <c r="H539" i="1"/>
  <c r="H545" i="1" s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H640" i="1"/>
  <c r="G641" i="1"/>
  <c r="H641" i="1"/>
  <c r="G643" i="1"/>
  <c r="H643" i="1"/>
  <c r="G644" i="1"/>
  <c r="G645" i="1"/>
  <c r="H647" i="1"/>
  <c r="G649" i="1"/>
  <c r="G650" i="1"/>
  <c r="G651" i="1"/>
  <c r="G652" i="1"/>
  <c r="H652" i="1"/>
  <c r="G653" i="1"/>
  <c r="H653" i="1"/>
  <c r="G654" i="1"/>
  <c r="H654" i="1"/>
  <c r="H655" i="1"/>
  <c r="L256" i="1"/>
  <c r="G257" i="1"/>
  <c r="G271" i="1" s="1"/>
  <c r="G164" i="2"/>
  <c r="C18" i="2"/>
  <c r="C26" i="10"/>
  <c r="L328" i="1"/>
  <c r="H660" i="1" s="1"/>
  <c r="L351" i="1"/>
  <c r="I662" i="1"/>
  <c r="A31" i="12"/>
  <c r="C70" i="2"/>
  <c r="A40" i="12"/>
  <c r="D62" i="2"/>
  <c r="D63" i="2" s="1"/>
  <c r="D18" i="13"/>
  <c r="C18" i="13" s="1"/>
  <c r="D15" i="13"/>
  <c r="C15" i="13" s="1"/>
  <c r="D18" i="2"/>
  <c r="D17" i="13"/>
  <c r="C17" i="13" s="1"/>
  <c r="D6" i="13"/>
  <c r="C6" i="13" s="1"/>
  <c r="F78" i="2"/>
  <c r="F81" i="2" s="1"/>
  <c r="D31" i="2"/>
  <c r="C78" i="2"/>
  <c r="D50" i="2"/>
  <c r="G157" i="2"/>
  <c r="F18" i="2"/>
  <c r="G161" i="2"/>
  <c r="G156" i="2"/>
  <c r="E103" i="2"/>
  <c r="E62" i="2"/>
  <c r="E63" i="2" s="1"/>
  <c r="E31" i="2"/>
  <c r="G62" i="2"/>
  <c r="D19" i="13"/>
  <c r="C19" i="13" s="1"/>
  <c r="E13" i="13"/>
  <c r="C13" i="13" s="1"/>
  <c r="J617" i="1"/>
  <c r="E78" i="2"/>
  <c r="E81" i="2" s="1"/>
  <c r="L427" i="1"/>
  <c r="J257" i="1"/>
  <c r="J271" i="1" s="1"/>
  <c r="H112" i="1"/>
  <c r="F112" i="1"/>
  <c r="J641" i="1"/>
  <c r="J639" i="1"/>
  <c r="J571" i="1"/>
  <c r="K571" i="1"/>
  <c r="L433" i="1"/>
  <c r="L419" i="1"/>
  <c r="D81" i="2"/>
  <c r="I169" i="1"/>
  <c r="G552" i="1"/>
  <c r="J643" i="1"/>
  <c r="I476" i="1"/>
  <c r="H625" i="1" s="1"/>
  <c r="J625" i="1" s="1"/>
  <c r="G338" i="1"/>
  <c r="G352" i="1" s="1"/>
  <c r="F169" i="1"/>
  <c r="J140" i="1"/>
  <c r="F571" i="1"/>
  <c r="K550" i="1"/>
  <c r="G22" i="2"/>
  <c r="K545" i="1"/>
  <c r="J552" i="1"/>
  <c r="C29" i="10"/>
  <c r="H140" i="1"/>
  <c r="F22" i="13"/>
  <c r="H25" i="13"/>
  <c r="C25" i="13" s="1"/>
  <c r="J651" i="1"/>
  <c r="J634" i="1"/>
  <c r="H571" i="1"/>
  <c r="L560" i="1"/>
  <c r="J545" i="1"/>
  <c r="G192" i="1"/>
  <c r="H192" i="1"/>
  <c r="C35" i="10"/>
  <c r="L309" i="1"/>
  <c r="J655" i="1"/>
  <c r="L570" i="1"/>
  <c r="I571" i="1"/>
  <c r="I545" i="1"/>
  <c r="J636" i="1"/>
  <c r="G36" i="2"/>
  <c r="L565" i="1"/>
  <c r="G545" i="1"/>
  <c r="K551" i="1"/>
  <c r="C22" i="13"/>
  <c r="H33" i="13"/>
  <c r="C109" i="2" l="1"/>
  <c r="A13" i="12"/>
  <c r="D12" i="13"/>
  <c r="C12" i="13" s="1"/>
  <c r="D14" i="13"/>
  <c r="C14" i="13" s="1"/>
  <c r="C20" i="10"/>
  <c r="E16" i="13"/>
  <c r="C16" i="13" s="1"/>
  <c r="F476" i="1"/>
  <c r="H622" i="1" s="1"/>
  <c r="J622" i="1" s="1"/>
  <c r="K598" i="1"/>
  <c r="G647" i="1" s="1"/>
  <c r="J647" i="1" s="1"/>
  <c r="J649" i="1"/>
  <c r="K549" i="1"/>
  <c r="K552" i="1" s="1"/>
  <c r="L534" i="1"/>
  <c r="L545" i="1" s="1"/>
  <c r="C119" i="2"/>
  <c r="D7" i="13"/>
  <c r="C7" i="13" s="1"/>
  <c r="D5" i="13"/>
  <c r="C5" i="13" s="1"/>
  <c r="H257" i="1"/>
  <c r="H271" i="1" s="1"/>
  <c r="C121" i="2"/>
  <c r="C120" i="2"/>
  <c r="L211" i="1"/>
  <c r="L257" i="1" s="1"/>
  <c r="L271" i="1" s="1"/>
  <c r="G632" i="1" s="1"/>
  <c r="J632" i="1" s="1"/>
  <c r="C110" i="2"/>
  <c r="C11" i="10"/>
  <c r="C81" i="2"/>
  <c r="C63" i="2"/>
  <c r="J338" i="1"/>
  <c r="J352" i="1" s="1"/>
  <c r="C10" i="10"/>
  <c r="C17" i="10"/>
  <c r="L290" i="1"/>
  <c r="E115" i="2"/>
  <c r="H52" i="1"/>
  <c r="H619" i="1" s="1"/>
  <c r="J640" i="1"/>
  <c r="J645" i="1"/>
  <c r="J644" i="1"/>
  <c r="L401" i="1"/>
  <c r="C139" i="2" s="1"/>
  <c r="G476" i="1"/>
  <c r="H623" i="1" s="1"/>
  <c r="J623" i="1" s="1"/>
  <c r="D29" i="13"/>
  <c r="C29" i="13" s="1"/>
  <c r="D127" i="2"/>
  <c r="D128" i="2" s="1"/>
  <c r="D145" i="2" s="1"/>
  <c r="H661" i="1"/>
  <c r="G661" i="1"/>
  <c r="I661" i="1" s="1"/>
  <c r="L362" i="1"/>
  <c r="H664" i="1"/>
  <c r="H672" i="1" s="1"/>
  <c r="C6" i="10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L571" i="1"/>
  <c r="I192" i="1"/>
  <c r="E91" i="2"/>
  <c r="E104" i="2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A22" i="12"/>
  <c r="G50" i="2"/>
  <c r="G51" i="2" s="1"/>
  <c r="H648" i="1"/>
  <c r="J648" i="1" s="1"/>
  <c r="J652" i="1"/>
  <c r="J642" i="1"/>
  <c r="G571" i="1"/>
  <c r="I434" i="1"/>
  <c r="G434" i="1"/>
  <c r="I663" i="1"/>
  <c r="C27" i="10"/>
  <c r="G635" i="1"/>
  <c r="J635" i="1" s="1"/>
  <c r="H667" i="1" l="1"/>
  <c r="C115" i="2"/>
  <c r="E33" i="13"/>
  <c r="D35" i="13" s="1"/>
  <c r="C128" i="2"/>
  <c r="F660" i="1"/>
  <c r="I660" i="1" s="1"/>
  <c r="I664" i="1" s="1"/>
  <c r="I672" i="1" s="1"/>
  <c r="C7" i="10" s="1"/>
  <c r="C104" i="2"/>
  <c r="C28" i="10"/>
  <c r="D22" i="10" s="1"/>
  <c r="D31" i="13"/>
  <c r="C31" i="13" s="1"/>
  <c r="L338" i="1"/>
  <c r="L352" i="1" s="1"/>
  <c r="G633" i="1" s="1"/>
  <c r="J633" i="1" s="1"/>
  <c r="F104" i="2"/>
  <c r="I193" i="1"/>
  <c r="G630" i="1" s="1"/>
  <c r="J630" i="1" s="1"/>
  <c r="C141" i="2"/>
  <c r="C144" i="2" s="1"/>
  <c r="L408" i="1"/>
  <c r="G637" i="1" s="1"/>
  <c r="J637" i="1" s="1"/>
  <c r="G672" i="1"/>
  <c r="C5" i="10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C145" i="2" l="1"/>
  <c r="F664" i="1"/>
  <c r="F672" i="1" s="1"/>
  <c r="C4" i="10" s="1"/>
  <c r="D12" i="10"/>
  <c r="D10" i="10"/>
  <c r="D23" i="10"/>
  <c r="D18" i="10"/>
  <c r="D26" i="10"/>
  <c r="D27" i="10"/>
  <c r="D17" i="10"/>
  <c r="C30" i="10"/>
  <c r="D16" i="10"/>
  <c r="D24" i="10"/>
  <c r="D20" i="10"/>
  <c r="D15" i="10"/>
  <c r="D25" i="10"/>
  <c r="D19" i="10"/>
  <c r="D13" i="10"/>
  <c r="D11" i="10"/>
  <c r="D21" i="10"/>
  <c r="D33" i="13"/>
  <c r="D36" i="13" s="1"/>
  <c r="H646" i="1"/>
  <c r="J646" i="1" s="1"/>
  <c r="I667" i="1"/>
  <c r="H656" i="1"/>
  <c r="C41" i="10"/>
  <c r="D38" i="10" s="1"/>
  <c r="F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<sst xmlns="http://schemas.openxmlformats.org/spreadsheetml/2006/main" count="3955" uniqueCount="913">
  <si>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</si>
  <si>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</si>
  <si>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</si>
  <si>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</si>
  <si>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</si>
  <si>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</si>
  <si>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</si>
  <si>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</si>
  <si>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</si>
  <si>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</si>
  <si>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</si>
  <si>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</si>
  <si>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</si>
  <si>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</si>
  <si>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</si>
  <si>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</si>
  <si>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</si>
  <si>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</si>
  <si>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</si>
  <si>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</si>
  <si>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</si>
  <si>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</si>
  <si>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</si>
  <si>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</si>
  <si>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</si>
  <si>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</si>
  <si>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</si>
  <si>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</si>
  <si>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</si>
  <si>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</si>
  <si>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</si>
  <si>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</si>
  <si>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</si>
  <si>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</si>
  <si>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</si>
  <si>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</si>
  <si>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</si>
  <si>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</si>
  <si>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</si>
  <si>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</si>
  <si>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</si>
  <si>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</si>
  <si>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</si>
  <si>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</si>
  <si>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</si>
  <si>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</si>
  <si>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</si>
  <si>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</si>
  <si>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</si>
  <si>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</si>
  <si>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</si>
  <si>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</si>
  <si>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</si>
  <si>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</si>
  <si>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</si>
  <si>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</si>
  <si>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</si>
  <si>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</si>
  <si>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</si>
  <si>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</si>
  <si>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</si>
  <si>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</si>
  <si>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</si>
  <si>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</si>
  <si>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</si>
  <si>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</si>
  <si>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</si>
  <si>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</si>
  <si>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</si>
  <si>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</si>
  <si>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</si>
  <si>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</si>
  <si>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</si>
  <si>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</si>
  <si>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</si>
  <si>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</si>
  <si>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</si>
  <si>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</si>
  <si>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</si>
  <si>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</si>
  <si>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</si>
  <si>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</si>
  <si>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</si>
  <si>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</si>
  <si>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</si>
  <si>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</si>
  <si>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</si>
  <si>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</si>
  <si>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</si>
  <si>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</si>
  <si>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</si>
  <si>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</si>
  <si>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</si>
  <si>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</si>
  <si>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</si>
  <si>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</si>
  <si>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</si>
  <si>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</si>
  <si>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</si>
  <si>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</si>
  <si>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</si>
  <si>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</si>
  <si>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</si>
  <si>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</si>
  <si>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</si>
  <si>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</si>
  <si>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</si>
  <si>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</si>
  <si>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</si>
  <si>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</si>
  <si>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</si>
  <si>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</si>
  <si>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</si>
  <si>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</si>
  <si>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</si>
  <si>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</si>
  <si>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</si>
  <si>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</si>
  <si>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</si>
  <si>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</si>
  <si>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</si>
  <si>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</si>
  <si>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</si>
  <si>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</si>
  <si>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</si>
  <si>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</si>
  <si>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</si>
  <si>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</si>
  <si>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</si>
  <si>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</si>
  <si>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</si>
  <si>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</si>
  <si>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</si>
  <si>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</si>
  <si>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</si>
  <si>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</si>
  <si>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</si>
  <si>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</si>
  <si>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</si>
  <si>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</si>
  <si>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</si>
  <si>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</si>
  <si>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</si>
  <si>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</si>
  <si>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</si>
  <si>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</si>
  <si>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</si>
  <si>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</si>
  <si>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</si>
  <si>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</si>
  <si>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</si>
  <si>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</si>
  <si>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</si>
  <si>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</si>
  <si>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</si>
  <si>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</si>
  <si>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</si>
  <si>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</si>
  <si>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</si>
  <si>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</si>
  <si>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</si>
  <si>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</si>
  <si>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</si>
  <si>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</si>
  <si>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</si>
  <si>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</si>
  <si>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</si>
  <si>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</si>
  <si>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</si>
  <si>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</si>
  <si>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</si>
  <si>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</si>
  <si>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</si>
  <si>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</si>
  <si>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</si>
  <si>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</si>
  <si>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</si>
  <si>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</si>
  <si>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</si>
  <si>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</si>
  <si>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</si>
  <si>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</si>
  <si>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</si>
  <si>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</si>
  <si>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</si>
  <si>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</si>
  <si>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</si>
  <si>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</si>
  <si>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</si>
  <si>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</si>
  <si>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</si>
  <si>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</si>
  <si>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</si>
  <si>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</si>
  <si>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</si>
  <si>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</si>
  <si>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</si>
  <si>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</si>
  <si>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</si>
  <si>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</si>
  <si>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</si>
  <si>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</si>
  <si>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</si>
  <si>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</si>
  <si>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</si>
  <si>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</si>
  <si>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</si>
  <si>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</si>
  <si>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</si>
  <si>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</si>
  <si>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</si>
  <si>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</si>
  <si>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</si>
  <si>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</si>
  <si>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</si>
  <si>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</si>
  <si>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</si>
  <si>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</si>
  <si>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</si>
  <si>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</si>
  <si>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</si>
  <si>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</si>
  <si>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</si>
  <si>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</si>
  <si>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</si>
  <si>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</si>
  <si>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</si>
  <si>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</si>
  <si>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</si>
  <si>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</si>
  <si>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</si>
  <si>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</si>
  <si>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</si>
  <si>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</si>
  <si>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</si>
  <si>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</si>
  <si>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</si>
  <si>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</si>
  <si>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</si>
  <si>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</si>
  <si>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</si>
  <si>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</si>
  <si>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</si>
  <si>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</si>
  <si>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</si>
  <si>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</si>
  <si>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</si>
  <si>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</si>
  <si>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</si>
  <si>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</si>
  <si>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</si>
  <si>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</si>
  <si>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</si>
  <si>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</si>
  <si>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</si>
  <si>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</si>
  <si>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</si>
  <si>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</si>
  <si>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</si>
  <si>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</si>
  <si>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</si>
  <si>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</si>
  <si>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</si>
  <si>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</si>
  <si>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</si>
  <si>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</si>
  <si>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</si>
  <si>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</si>
  <si>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</si>
  <si>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</si>
  <si>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</si>
  <si>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</si>
  <si>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</si>
  <si>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</si>
  <si>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</si>
  <si>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</si>
  <si>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</si>
  <si>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</si>
  <si>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</si>
  <si>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</si>
  <si>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</si>
  <si>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</si>
  <si>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</si>
  <si>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</si>
  <si>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</si>
  <si>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</si>
  <si>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</si>
  <si>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</si>
  <si>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</si>
  <si>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</si>
  <si>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</si>
  <si>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</si>
  <si>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</si>
  <si>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</si>
  <si>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</si>
  <si>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</si>
  <si>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</si>
  <si>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</si>
  <si>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</si>
  <si>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</si>
  <si>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</si>
  <si>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</si>
  <si>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</si>
  <si>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</si>
  <si>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</si>
  <si>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</si>
  <si>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</si>
  <si>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</si>
  <si>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</si>
  <si>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</si>
  <si>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</si>
  <si>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</si>
  <si>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</si>
  <si>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</si>
  <si>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</si>
  <si>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</si>
  <si>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</si>
  <si>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</si>
  <si>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</si>
  <si>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</si>
  <si>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</si>
  <si>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</si>
  <si>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</si>
  <si>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</si>
  <si>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</si>
  <si>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</si>
  <si>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</si>
  <si>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</si>
  <si>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</si>
  <si>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</si>
  <si>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</si>
  <si>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</si>
  <si>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</si>
  <si>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</si>
  <si>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</si>
  <si>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</si>
  <si>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</si>
  <si>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</si>
  <si>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</si>
  <si>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</si>
  <si>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</si>
  <si>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</si>
  <si>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</si>
  <si>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</si>
  <si>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</si>
  <si>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</si>
  <si>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</si>
  <si>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</si>
  <si>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</si>
  <si>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</si>
  <si>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</si>
  <si>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</si>
  <si>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</si>
  <si>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</si>
  <si>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</si>
  <si>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</si>
  <si>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</si>
  <si>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</si>
  <si>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</si>
  <si>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</si>
  <si>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</si>
  <si>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</si>
  <si>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</si>
  <si>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</si>
  <si>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</si>
  <si>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</si>
  <si>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</si>
  <si>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</si>
  <si>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</si>
  <si>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</si>
  <si>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</si>
  <si>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</si>
  <si>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</si>
  <si>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</si>
  <si>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</si>
  <si>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</si>
  <si>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</si>
  <si>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</si>
  <si>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</si>
  <si>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</si>
  <si>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</si>
  <si>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</si>
  <si>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</si>
  <si>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</si>
  <si>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</si>
  <si>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</si>
  <si>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</si>
  <si>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</si>
  <si>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</si>
  <si>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</si>
  <si>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</si>
  <si>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</si>
  <si>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</si>
  <si>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</si>
  <si>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</si>
  <si>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</si>
  <si>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</si>
  <si>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</si>
  <si>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</si>
  <si>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</si>
  <si>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</si>
  <si>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</si>
  <si>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</si>
  <si>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</si>
  <si>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</si>
  <si>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</si>
  <si>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</si>
  <si>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</si>
  <si>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</si>
  <si>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</si>
  <si>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</si>
  <si>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</si>
  <si>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</si>
  <si>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</si>
  <si>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</si>
  <si>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</si>
  <si>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</si>
  <si>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</si>
  <si>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</si>
  <si>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</si>
  <si>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</si>
  <si>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</si>
  <si>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</si>
  <si>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</si>
  <si>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</si>
  <si>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</si>
  <si>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</si>
  <si>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</si>
  <si>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</si>
  <si>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</si>
  <si>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</si>
  <si>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</si>
  <si>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</si>
  <si>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</si>
  <si>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</si>
  <si>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</si>
  <si>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</si>
  <si>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</si>
  <si>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</si>
  <si>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</si>
  <si>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</si>
  <si>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</si>
  <si>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</si>
  <si>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</si>
  <si>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</si>
  <si>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</si>
  <si>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</si>
  <si>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</si>
  <si>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</si>
  <si>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</si>
  <si>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</si>
  <si>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</si>
  <si>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</si>
  <si>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</si>
  <si>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</si>
  <si>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</si>
  <si>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</si>
  <si>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</si>
  <si>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</si>
  <si>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</si>
  <si>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</si>
  <si>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</si>
  <si>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</si>
  <si>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</si>
  <si>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</si>
  <si>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</si>
  <si>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</si>
  <si>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</si>
  <si>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</si>
  <si>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</si>
  <si>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</si>
  <si>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</si>
  <si>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</si>
  <si>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</si>
  <si>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</si>
  <si>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</si>
  <si>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</si>
  <si>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</si>
  <si>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</si>
  <si>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</si>
  <si>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</si>
  <si>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</si>
  <si>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</si>
  <si>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</si>
  <si>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</si>
  <si>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</si>
  <si>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</si>
  <si>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</si>
  <si>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</si>
  <si>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</si>
  <si>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</si>
  <si>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</si>
  <si>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</si>
  <si>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</si>
  <si>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</si>
  <si>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</si>
  <si>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</si>
  <si>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</si>
  <si>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</si>
  <si>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</si>
  <si>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</si>
  <si>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</si>
  <si>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</si>
  <si>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</si>
  <si>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</si>
  <si>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</si>
  <si>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</si>
  <si>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</si>
  <si>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</si>
  <si>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</si>
  <si>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</si>
  <si>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</si>
  <si>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</si>
  <si>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</si>
  <si>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</si>
  <si>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</si>
  <si>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</si>
  <si>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</si>
  <si>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</si>
  <si>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</si>
  <si>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</si>
  <si>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</si>
  <si>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</si>
  <si>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</si>
  <si>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</si>
  <si>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</si>
  <si>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</si>
  <si>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</si>
  <si>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</si>
  <si>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</si>
  <si>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</si>
  <si>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</si>
  <si>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</si>
  <si>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</si>
  <si>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</si>
  <si>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</si>
  <si>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</si>
  <si>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</si>
  <si>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</si>
  <si>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</si>
  <si>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</si>
  <si>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</si>
  <si>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</si>
  <si>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</si>
  <si>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</si>
  <si>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</si>
  <si>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</si>
  <si>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</si>
  <si>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</si>
  <si>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</si>
  <si>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</si>
  <si>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</si>
  <si>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</si>
  <si>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</si>
  <si>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</si>
  <si>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</si>
  <si>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</si>
  <si>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</si>
  <si>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</si>
  <si>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</si>
  <si>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</si>
  <si>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</si>
  <si>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</si>
  <si>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</si>
  <si>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</si>
  <si>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</si>
  <si>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</si>
  <si>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</si>
  <si>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</si>
  <si>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</si>
  <si>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</si>
  <si>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</si>
  <si>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</si>
  <si>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</si>
  <si>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</si>
  <si>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</si>
  <si>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</si>
  <si>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</si>
  <si>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</si>
  <si>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</si>
  <si>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</si>
  <si>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</si>
  <si>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</si>
  <si>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</si>
  <si>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</si>
  <si>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</si>
  <si>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</si>
  <si>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</si>
  <si>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</si>
  <si>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</si>
  <si>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</si>
  <si>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</si>
  <si>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</si>
  <si>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</si>
  <si>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</si>
  <si>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</si>
  <si>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</si>
  <si>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</si>
  <si>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</si>
  <si>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</si>
  <si>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</si>
  <si>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</si>
  <si>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</si>
  <si>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</si>
  <si>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</si>
  <si>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</si>
  <si>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</si>
  <si>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</si>
  <si>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</si>
  <si>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</si>
  <si>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</si>
  <si>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</si>
  <si>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</si>
  <si>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</si>
  <si>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</si>
  <si>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</si>
  <si>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</si>
  <si>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</si>
  <si>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</si>
  <si>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</si>
  <si>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</si>
  <si>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</si>
  <si>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</si>
  <si>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</si>
  <si>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</si>
  <si>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</si>
  <si>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</si>
  <si>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</si>
  <si>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</si>
  <si>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</si>
  <si>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</si>
  <si>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</si>
  <si>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</si>
  <si>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</si>
  <si>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</si>
  <si>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</si>
  <si>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</si>
  <si>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</si>
  <si>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</si>
  <si>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</si>
  <si>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</si>
  <si>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</si>
  <si>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</si>
  <si>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</si>
  <si>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</si>
  <si>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</si>
  <si>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</si>
  <si>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</si>
  <si>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</si>
  <si>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</si>
  <si>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</si>
  <si>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</si>
  <si>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</si>
  <si>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</si>
  <si>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</si>
  <si>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</si>
  <si>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</si>
  <si>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</si>
  <si>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</si>
  <si>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</si>
  <si>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</si>
  <si>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</si>
  <si>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</si>
  <si>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</si>
  <si>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</si>
  <si>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</si>
  <si>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</si>
  <si>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</si>
  <si>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</si>
  <si>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</si>
  <si>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</si>
  <si>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</si>
  <si>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</si>
  <si>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</si>
  <si>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</si>
  <si>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</si>
  <si>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</si>
  <si>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</si>
  <si>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</si>
  <si>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</si>
  <si>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</si>
  <si>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</si>
  <si>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</si>
  <si>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</si>
  <si>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</si>
  <si>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</si>
  <si>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</si>
  <si>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</si>
  <si>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</si>
  <si>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</si>
  <si>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</si>
  <si>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</si>
  <si>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</si>
  <si>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</si>
  <si>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</si>
  <si>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</si>
  <si>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</si>
  <si>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</si>
  <si>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</si>
  <si>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</si>
  <si>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</si>
  <si>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</si>
  <si>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</si>
  <si>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</si>
  <si>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</si>
  <si>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</si>
  <si>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</si>
  <si>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</si>
  <si>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</si>
  <si>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</si>
  <si>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</si>
  <si>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</si>
  <si>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</si>
  <si>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</si>
  <si>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</si>
  <si>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</si>
  <si>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</si>
  <si>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</si>
  <si>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</si>
  <si>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</si>
  <si>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</si>
  <si>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</si>
  <si>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</si>
  <si>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</si>
  <si>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</si>
  <si>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</si>
  <si>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</si>
  <si>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</si>
  <si>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</si>
  <si>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</si>
  <si>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</si>
  <si>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</si>
  <si>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</si>
  <si>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</si>
  <si>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</si>
  <si>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</si>
  <si>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</si>
  <si>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</si>
  <si>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</si>
  <si>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</si>
  <si>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</si>
  <si>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</si>
  <si>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</si>
  <si>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</si>
  <si>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</si>
  <si>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</si>
  <si>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</si>
  <si>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</si>
  <si>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</si>
  <si>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</si>
  <si>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</si>
  <si>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</si>
  <si>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</si>
  <si>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</si>
  <si>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</si>
  <si>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</si>
  <si>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</si>
  <si>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</si>
  <si>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</si>
  <si>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</si>
  <si>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</si>
  <si>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</si>
  <si>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</si>
  <si>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</si>
  <si>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</si>
  <si>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</si>
  <si>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</si>
  <si>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</si>
  <si>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</si>
  <si>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</si>
  <si>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</si>
  <si>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</si>
  <si>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</si>
  <si>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</si>
  <si>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</si>
  <si>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</si>
  <si>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</si>
  <si>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</si>
  <si>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</si>
  <si>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</si>
  <si>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</si>
  <si>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</si>
  <si>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</si>
  <si>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</si>
  <si>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</si>
  <si>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</si>
  <si>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</si>
  <si>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</si>
  <si>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</si>
  <si>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</si>
  <si>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</si>
  <si>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</si>
  <si>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</si>
  <si>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</si>
  <si>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</si>
  <si>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</si>
  <si>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</si>
  <si>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</si>
  <si>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</si>
  <si>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</si>
  <si>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</si>
  <si>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</si>
  <si>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</si>
  <si>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</si>
  <si>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</si>
  <si>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</si>
  <si>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</si>
  <si>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</si>
  <si>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</si>
  <si>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</si>
  <si>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</si>
  <si>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</si>
  <si>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</si>
  <si>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</si>
  <si>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</si>
  <si>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</si>
  <si>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</si>
  <si>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</si>
  <si>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</si>
  <si>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</si>
  <si>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</si>
  <si>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</si>
  <si>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</si>
  <si>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</si>
  <si>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</si>
  <si>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</si>
  <si>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</si>
  <si>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</si>
  <si>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</si>
  <si>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</si>
  <si>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</si>
  <si>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</si>
  <si>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</si>
  <si>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</si>
  <si>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</si>
  <si>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</si>
  <si>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</si>
  <si>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</si>
  <si>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</si>
  <si>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</si>
  <si>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</si>
  <si>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</si>
  <si>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</si>
  <si>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</si>
  <si>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</si>
  <si>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</si>
  <si>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</si>
  <si>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</si>
  <si>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</si>
  <si>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</si>
  <si>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</si>
  <si>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</si>
  <si>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</si>
  <si>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</si>
  <si>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</si>
  <si>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</si>
  <si>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</si>
  <si>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</si>
  <si>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</si>
  <si>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</si>
  <si>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</si>
  <si>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</si>
  <si>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</si>
  <si>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</si>
  <si>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</si>
  <si>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</si>
  <si>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</si>
  <si>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</si>
  <si>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</si>
  <si>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</si>
  <si>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</si>
  <si>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</si>
  <si>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</si>
  <si>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</si>
  <si>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</si>
  <si>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</si>
  <si>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</si>
  <si>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</si>
  <si>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</si>
  <si>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</si>
  <si>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</si>
  <si>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</si>
  <si>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</si>
  <si>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</si>
  <si>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</si>
  <si>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</si>
  <si>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</si>
  <si>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</si>
  <si>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</si>
  <si>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</si>
  <si>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</si>
  <si>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</si>
  <si>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</si>
  <si>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</si>
  <si>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</si>
  <si>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</si>
  <si>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</si>
  <si>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</si>
  <si>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</si>
  <si>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</si>
  <si>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</si>
  <si>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</si>
  <si>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</si>
  <si>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</si>
  <si>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</si>
  <si>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</si>
  <si>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</si>
  <si>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</si>
  <si>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</si>
  <si>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</si>
  <si>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</si>
  <si>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</si>
  <si>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SOUTH HAMPTON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</si>
</sst>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229" activePane="bottomRight" state="frozen"/>
      <selection pane="topRight" activeCell="F1" sqref="F1"/>
      <selection pane="bottomLeft" activeCell="A4" sqref="A4"/>
      <selection pane="bottomRight" activeCell="H235" sqref="H23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495</v>
      </c>
      <c r="C2" s="21">
        <v>495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f>90976.94+200</f>
        <v>91176.94</v>
      </c>
      <c r="G9" s="18"/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173033.11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4243.3100000000004</v>
      </c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12308.49</v>
      </c>
      <c r="G13" s="18">
        <v>36.17</v>
      </c>
      <c r="H13" s="18">
        <v>4207.1400000000003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779.1</v>
      </c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475</v>
      </c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108982.84000000001</v>
      </c>
      <c r="G19" s="41">
        <f>SUM(G9:G18)</f>
        <v>36.17</v>
      </c>
      <c r="H19" s="41">
        <f>SUM(H9:H18)</f>
        <v>4207.1400000000003</v>
      </c>
      <c r="I19" s="41">
        <f>SUM(I9:I18)</f>
        <v>0</v>
      </c>
      <c r="J19" s="41">
        <f>SUM(J9:J18)</f>
        <v>173033.11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>
        <v>36.17</v>
      </c>
      <c r="H22" s="18">
        <v>4207.1400000000003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1798.78</v>
      </c>
      <c r="G24" s="18"/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1157.7</v>
      </c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f>88.57+393.86+265.52</f>
        <v>747.95</v>
      </c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3704.4300000000003</v>
      </c>
      <c r="G32" s="41">
        <f>SUM(G22:G31)</f>
        <v>36.17</v>
      </c>
      <c r="H32" s="41">
        <f>SUM(H22:H31)</f>
        <v>4207.1400000000003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>
        <v>475</v>
      </c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25000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>
        <f>6257.26+571.22</f>
        <v>6828.4800000000005</v>
      </c>
      <c r="G48" s="18"/>
      <c r="H48" s="18"/>
      <c r="I48" s="18"/>
      <c r="J48" s="13">
        <f>SUM(I459)</f>
        <v>173033.11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1000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71974.929999999993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105278.40999999999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173033.11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108982.84</v>
      </c>
      <c r="G52" s="41">
        <f>G51+G32</f>
        <v>36.17</v>
      </c>
      <c r="H52" s="41">
        <f>H51+H32</f>
        <v>4207.1400000000003</v>
      </c>
      <c r="I52" s="41">
        <f>I51+I32</f>
        <v>0</v>
      </c>
      <c r="J52" s="41">
        <f>J51+J32</f>
        <v>173033.11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1351984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1351984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0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22.08</v>
      </c>
      <c r="G96" s="18"/>
      <c r="H96" s="18"/>
      <c r="I96" s="18"/>
      <c r="J96" s="18">
        <v>1515.08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472.03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22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44.08</v>
      </c>
      <c r="G111" s="41">
        <f>SUM(G96:G110)</f>
        <v>472.03</v>
      </c>
      <c r="H111" s="41">
        <f>SUM(H96:H110)</f>
        <v>0</v>
      </c>
      <c r="I111" s="41">
        <f>SUM(I96:I110)</f>
        <v>0</v>
      </c>
      <c r="J111" s="41">
        <f>SUM(J96:J110)</f>
        <v>1515.08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1352028.08</v>
      </c>
      <c r="G112" s="41">
        <f>G60+G111</f>
        <v>472.03</v>
      </c>
      <c r="H112" s="41">
        <f>H60+H79+H94+H111</f>
        <v>0</v>
      </c>
      <c r="I112" s="41">
        <f>I60+I111</f>
        <v>0</v>
      </c>
      <c r="J112" s="41">
        <f>J60+J111</f>
        <v>1515.08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79991.399999999994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305630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20444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406065.4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/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>
        <v>6552.17</v>
      </c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/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6552.17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412617.57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/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f>2602.89+1394.4+10970.53</f>
        <v>14967.82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490.93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f>275.69+12243.26+11.12+1868.48</f>
        <v>14398.550000000001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9334.11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9334.11</v>
      </c>
      <c r="G162" s="41">
        <f>SUM(G150:G161)</f>
        <v>490.93</v>
      </c>
      <c r="H162" s="41">
        <f>SUM(H150:H161)</f>
        <v>29366.370000000003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9334.11</v>
      </c>
      <c r="G169" s="41">
        <f>G147+G162+SUM(G163:G168)</f>
        <v>490.93</v>
      </c>
      <c r="H169" s="41">
        <f>H147+H162+SUM(H163:H168)</f>
        <v>29366.370000000003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129.38999999999999</v>
      </c>
      <c r="H179" s="18"/>
      <c r="I179" s="18"/>
      <c r="J179" s="18">
        <v>70000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129.38999999999999</v>
      </c>
      <c r="H183" s="41">
        <f>SUM(H179:H182)</f>
        <v>0</v>
      </c>
      <c r="I183" s="41">
        <f>SUM(I179:I182)</f>
        <v>0</v>
      </c>
      <c r="J183" s="41">
        <f>SUM(J179:J182)</f>
        <v>70000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>
        <v>91890</v>
      </c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91890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91890</v>
      </c>
      <c r="G192" s="41">
        <f>G183+SUM(G188:G191)</f>
        <v>129.38999999999999</v>
      </c>
      <c r="H192" s="41">
        <f>+H183+SUM(H188:H191)</f>
        <v>0</v>
      </c>
      <c r="I192" s="41">
        <f>I177+I183+SUM(I188:I191)</f>
        <v>0</v>
      </c>
      <c r="J192" s="41">
        <f>J183</f>
        <v>70000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1865869.7600000002</v>
      </c>
      <c r="G193" s="47">
        <f>G112+G140+G169+G192</f>
        <v>1092.3499999999999</v>
      </c>
      <c r="H193" s="47">
        <f>H112+H140+H169+H192</f>
        <v>29366.370000000003</v>
      </c>
      <c r="I193" s="47">
        <f>I112+I140+I169+I192</f>
        <v>0</v>
      </c>
      <c r="J193" s="47">
        <f>J112+J140+J192</f>
        <v>71515.08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464267.96</v>
      </c>
      <c r="G197" s="18">
        <v>165248.92000000001</v>
      </c>
      <c r="H197" s="18">
        <v>6804.11</v>
      </c>
      <c r="I197" s="18">
        <v>16535.71</v>
      </c>
      <c r="J197" s="18"/>
      <c r="K197" s="18"/>
      <c r="L197" s="19">
        <f>SUM(F197:K197)</f>
        <v>652856.69999999995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225358.42</v>
      </c>
      <c r="G198" s="18">
        <v>45308.91</v>
      </c>
      <c r="H198" s="18">
        <v>144830.04</v>
      </c>
      <c r="I198" s="18">
        <v>1403.82</v>
      </c>
      <c r="J198" s="18"/>
      <c r="K198" s="18">
        <v>1124</v>
      </c>
      <c r="L198" s="19">
        <f>SUM(F198:K198)</f>
        <v>418025.19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7770</v>
      </c>
      <c r="G200" s="18">
        <v>635.59</v>
      </c>
      <c r="H200" s="18">
        <v>1350</v>
      </c>
      <c r="I200" s="18">
        <v>1388.74</v>
      </c>
      <c r="J200" s="18"/>
      <c r="K200" s="18"/>
      <c r="L200" s="19">
        <f>SUM(F200:K200)</f>
        <v>11144.33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f>11382+45741</f>
        <v>57123</v>
      </c>
      <c r="G202" s="18">
        <v>12050.09</v>
      </c>
      <c r="H202" s="18">
        <f>327.66+1500</f>
        <v>1827.66</v>
      </c>
      <c r="I202" s="18">
        <v>540.27</v>
      </c>
      <c r="J202" s="18">
        <v>65</v>
      </c>
      <c r="K202" s="18"/>
      <c r="L202" s="19">
        <f t="shared" ref="L202:L208" si="0">SUM(F202:K202)</f>
        <v>71606.02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f>2606.2+29437.72</f>
        <v>32043.920000000002</v>
      </c>
      <c r="G203" s="18">
        <f>1218.99+2657.19</f>
        <v>3876.1800000000003</v>
      </c>
      <c r="H203" s="18">
        <f>4936.09+562.5</f>
        <v>5498.59</v>
      </c>
      <c r="I203" s="18">
        <f>95.17+10332.63</f>
        <v>10427.799999999999</v>
      </c>
      <c r="J203" s="18">
        <f>6181.88+1482.21</f>
        <v>7664.09</v>
      </c>
      <c r="K203" s="18"/>
      <c r="L203" s="19">
        <f t="shared" si="0"/>
        <v>59510.58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5600</v>
      </c>
      <c r="G204" s="18">
        <v>432.88</v>
      </c>
      <c r="H204" s="18">
        <f>9259.96+32853</f>
        <v>42112.959999999999</v>
      </c>
      <c r="I204" s="18">
        <v>2154.41</v>
      </c>
      <c r="J204" s="18"/>
      <c r="K204" s="18">
        <v>3203.95</v>
      </c>
      <c r="L204" s="19">
        <f t="shared" si="0"/>
        <v>53504.2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117743.1</v>
      </c>
      <c r="G205" s="18">
        <v>43812.38</v>
      </c>
      <c r="H205" s="18">
        <v>2206.33</v>
      </c>
      <c r="I205" s="18"/>
      <c r="J205" s="18"/>
      <c r="K205" s="18">
        <v>1586</v>
      </c>
      <c r="L205" s="19">
        <f t="shared" si="0"/>
        <v>165347.81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26209.51</v>
      </c>
      <c r="G207" s="18">
        <v>2143.94</v>
      </c>
      <c r="H207" s="18">
        <f>34244.68+21597.99</f>
        <v>55842.67</v>
      </c>
      <c r="I207" s="18">
        <v>31513.23</v>
      </c>
      <c r="J207" s="18">
        <v>6127.77</v>
      </c>
      <c r="K207" s="18"/>
      <c r="L207" s="19">
        <f t="shared" si="0"/>
        <v>121837.12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f>50139.1+3879.92+1314.5+272.5</f>
        <v>55606.02</v>
      </c>
      <c r="I208" s="18"/>
      <c r="J208" s="18"/>
      <c r="K208" s="18"/>
      <c r="L208" s="19">
        <f t="shared" si="0"/>
        <v>55606.02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>
        <f>14.25+1038.42</f>
        <v>1052.67</v>
      </c>
      <c r="L209" s="19">
        <f>SUM(F209:K209)</f>
        <v>1052.67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936115.91</v>
      </c>
      <c r="G211" s="41">
        <f t="shared" si="1"/>
        <v>273508.89</v>
      </c>
      <c r="H211" s="41">
        <f t="shared" si="1"/>
        <v>316078.38</v>
      </c>
      <c r="I211" s="41">
        <f t="shared" si="1"/>
        <v>63963.979999999996</v>
      </c>
      <c r="J211" s="41">
        <f t="shared" si="1"/>
        <v>13856.86</v>
      </c>
      <c r="K211" s="41">
        <f t="shared" si="1"/>
        <v>6966.62</v>
      </c>
      <c r="L211" s="41">
        <f t="shared" si="1"/>
        <v>1610490.6400000001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v>261068.4</v>
      </c>
      <c r="I233" s="18"/>
      <c r="J233" s="18"/>
      <c r="K233" s="18"/>
      <c r="L233" s="19">
        <f>SUM(F233:K233)</f>
        <v>261068.4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261068.4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261068.4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936115.91</v>
      </c>
      <c r="G257" s="41">
        <f t="shared" si="8"/>
        <v>273508.89</v>
      </c>
      <c r="H257" s="41">
        <f t="shared" si="8"/>
        <v>577146.78</v>
      </c>
      <c r="I257" s="41">
        <f t="shared" si="8"/>
        <v>63963.979999999996</v>
      </c>
      <c r="J257" s="41">
        <f t="shared" si="8"/>
        <v>13856.86</v>
      </c>
      <c r="K257" s="41">
        <f t="shared" si="8"/>
        <v>6966.62</v>
      </c>
      <c r="L257" s="41">
        <f t="shared" si="8"/>
        <v>1871559.04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129.38999999999999</v>
      </c>
      <c r="L263" s="19">
        <f>SUM(F263:K263)</f>
        <v>129.38999999999999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70000</v>
      </c>
      <c r="L266" s="19">
        <f t="shared" si="9"/>
        <v>70000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70129.39</v>
      </c>
      <c r="L270" s="41">
        <f t="shared" si="9"/>
        <v>70129.39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936115.91</v>
      </c>
      <c r="G271" s="42">
        <f t="shared" si="11"/>
        <v>273508.89</v>
      </c>
      <c r="H271" s="42">
        <f t="shared" si="11"/>
        <v>577146.78</v>
      </c>
      <c r="I271" s="42">
        <f t="shared" si="11"/>
        <v>63963.979999999996</v>
      </c>
      <c r="J271" s="42">
        <f t="shared" si="11"/>
        <v>13856.86</v>
      </c>
      <c r="K271" s="42">
        <f t="shared" si="11"/>
        <v>77096.009999999995</v>
      </c>
      <c r="L271" s="42">
        <f t="shared" si="11"/>
        <v>1941688.43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/>
      <c r="G276" s="18"/>
      <c r="H276" s="18">
        <f>1370.86+650</f>
        <v>2020.86</v>
      </c>
      <c r="I276" s="18">
        <v>988.28</v>
      </c>
      <c r="J276" s="18">
        <v>9170.25</v>
      </c>
      <c r="K276" s="18">
        <v>162</v>
      </c>
      <c r="L276" s="19">
        <f>SUM(F276:K276)</f>
        <v>12341.39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2899</v>
      </c>
      <c r="G277" s="18">
        <v>244.05</v>
      </c>
      <c r="H277" s="18">
        <v>9125</v>
      </c>
      <c r="I277" s="18">
        <v>683.36</v>
      </c>
      <c r="J277" s="18">
        <v>1012.88</v>
      </c>
      <c r="K277" s="18"/>
      <c r="L277" s="19">
        <f>SUM(F277:K277)</f>
        <v>13964.289999999999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>
        <v>2536.9299999999998</v>
      </c>
      <c r="I282" s="18"/>
      <c r="J282" s="18"/>
      <c r="K282" s="18"/>
      <c r="L282" s="19">
        <f t="shared" si="12"/>
        <v>2536.9299999999998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>
        <v>523.76</v>
      </c>
      <c r="L283" s="19">
        <f t="shared" si="12"/>
        <v>523.76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2899</v>
      </c>
      <c r="G290" s="42">
        <f t="shared" si="13"/>
        <v>244.05</v>
      </c>
      <c r="H290" s="42">
        <f t="shared" si="13"/>
        <v>13682.79</v>
      </c>
      <c r="I290" s="42">
        <f t="shared" si="13"/>
        <v>1671.6399999999999</v>
      </c>
      <c r="J290" s="42">
        <f t="shared" si="13"/>
        <v>10183.129999999999</v>
      </c>
      <c r="K290" s="42">
        <f t="shared" si="13"/>
        <v>685.76</v>
      </c>
      <c r="L290" s="41">
        <f t="shared" si="13"/>
        <v>29366.37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2899</v>
      </c>
      <c r="G338" s="41">
        <f t="shared" si="20"/>
        <v>244.05</v>
      </c>
      <c r="H338" s="41">
        <f t="shared" si="20"/>
        <v>13682.79</v>
      </c>
      <c r="I338" s="41">
        <f t="shared" si="20"/>
        <v>1671.6399999999999</v>
      </c>
      <c r="J338" s="41">
        <f t="shared" si="20"/>
        <v>10183.129999999999</v>
      </c>
      <c r="K338" s="41">
        <f t="shared" si="20"/>
        <v>685.76</v>
      </c>
      <c r="L338" s="41">
        <f t="shared" si="20"/>
        <v>29366.37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2899</v>
      </c>
      <c r="G352" s="41">
        <f>G338</f>
        <v>244.05</v>
      </c>
      <c r="H352" s="41">
        <f>H338</f>
        <v>13682.79</v>
      </c>
      <c r="I352" s="41">
        <f>I338</f>
        <v>1671.6399999999999</v>
      </c>
      <c r="J352" s="41">
        <f>J338</f>
        <v>10183.129999999999</v>
      </c>
      <c r="K352" s="47">
        <f>K338+K351</f>
        <v>685.76</v>
      </c>
      <c r="L352" s="41">
        <f>L338+L351</f>
        <v>29366.37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555</v>
      </c>
      <c r="G358" s="18"/>
      <c r="H358" s="18"/>
      <c r="I358" s="18">
        <v>543.30999999999995</v>
      </c>
      <c r="J358" s="18"/>
      <c r="K358" s="18"/>
      <c r="L358" s="13">
        <f>SUM(F358:K358)</f>
        <v>1098.31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555</v>
      </c>
      <c r="G362" s="47">
        <f t="shared" si="22"/>
        <v>0</v>
      </c>
      <c r="H362" s="47">
        <f t="shared" si="22"/>
        <v>0</v>
      </c>
      <c r="I362" s="47">
        <f t="shared" si="22"/>
        <v>543.30999999999995</v>
      </c>
      <c r="J362" s="47">
        <f t="shared" si="22"/>
        <v>0</v>
      </c>
      <c r="K362" s="47">
        <f t="shared" si="22"/>
        <v>0</v>
      </c>
      <c r="L362" s="47">
        <f t="shared" si="22"/>
        <v>1098.31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543.30999999999995</v>
      </c>
      <c r="G367" s="18"/>
      <c r="H367" s="18"/>
      <c r="I367" s="56">
        <f>SUM(F367:H367)</f>
        <v>543.30999999999995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/>
      <c r="G368" s="63"/>
      <c r="H368" s="63"/>
      <c r="I368" s="56">
        <f>SUM(F368:H368)</f>
        <v>0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543.30999999999995</v>
      </c>
      <c r="G369" s="47">
        <f>SUM(G367:G368)</f>
        <v>0</v>
      </c>
      <c r="H369" s="47">
        <f>SUM(H367:H368)</f>
        <v>0</v>
      </c>
      <c r="I369" s="47">
        <f>SUM(I367:I368)</f>
        <v>543.30999999999995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>
        <v>38.75</v>
      </c>
      <c r="I389" s="18"/>
      <c r="J389" s="24" t="s">
        <v>288</v>
      </c>
      <c r="K389" s="24" t="s">
        <v>288</v>
      </c>
      <c r="L389" s="56">
        <f t="shared" si="25"/>
        <v>38.75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38.75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38.75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>
        <f>15000+25000</f>
        <v>40000</v>
      </c>
      <c r="H396" s="18">
        <f>331.39+126.66</f>
        <v>458.04999999999995</v>
      </c>
      <c r="I396" s="18"/>
      <c r="J396" s="24" t="s">
        <v>288</v>
      </c>
      <c r="K396" s="24" t="s">
        <v>288</v>
      </c>
      <c r="L396" s="56">
        <f t="shared" si="26"/>
        <v>40458.050000000003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>
        <v>10000</v>
      </c>
      <c r="H397" s="18">
        <v>844.36</v>
      </c>
      <c r="I397" s="18"/>
      <c r="J397" s="24" t="s">
        <v>288</v>
      </c>
      <c r="K397" s="24" t="s">
        <v>288</v>
      </c>
      <c r="L397" s="56">
        <f t="shared" si="26"/>
        <v>10844.36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>
        <v>13000</v>
      </c>
      <c r="H398" s="18">
        <v>65.87</v>
      </c>
      <c r="I398" s="18"/>
      <c r="J398" s="24" t="s">
        <v>288</v>
      </c>
      <c r="K398" s="24" t="s">
        <v>288</v>
      </c>
      <c r="L398" s="56">
        <f t="shared" si="26"/>
        <v>13065.87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>
        <v>7000</v>
      </c>
      <c r="H399" s="18">
        <v>39.799999999999997</v>
      </c>
      <c r="I399" s="18"/>
      <c r="J399" s="24" t="s">
        <v>288</v>
      </c>
      <c r="K399" s="24" t="s">
        <v>288</v>
      </c>
      <c r="L399" s="56">
        <f t="shared" si="26"/>
        <v>7039.8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>
        <f>68.25</f>
        <v>68.25</v>
      </c>
      <c r="I400" s="18"/>
      <c r="J400" s="24" t="s">
        <v>288</v>
      </c>
      <c r="K400" s="24" t="s">
        <v>288</v>
      </c>
      <c r="L400" s="56">
        <f t="shared" si="26"/>
        <v>68.25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70000</v>
      </c>
      <c r="H401" s="47">
        <f>SUM(H395:H400)</f>
        <v>1476.3299999999997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71476.33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70000</v>
      </c>
      <c r="H408" s="47">
        <f>H393+H401+H407</f>
        <v>1515.0799999999997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71515.08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>
        <v>5390</v>
      </c>
      <c r="L422" s="56">
        <f t="shared" si="29"/>
        <v>5390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>
        <v>86500</v>
      </c>
      <c r="L423" s="56">
        <f t="shared" si="29"/>
        <v>86500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91890</v>
      </c>
      <c r="L427" s="47">
        <f t="shared" si="30"/>
        <v>91890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91890</v>
      </c>
      <c r="L434" s="47">
        <f t="shared" si="32"/>
        <v>91890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>
        <v>173033.11</v>
      </c>
      <c r="H440" s="18"/>
      <c r="I440" s="56">
        <f t="shared" si="33"/>
        <v>173033.11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173033.11</v>
      </c>
      <c r="H446" s="13">
        <f>SUM(H439:H445)</f>
        <v>0</v>
      </c>
      <c r="I446" s="13">
        <f>SUM(I439:I445)</f>
        <v>173033.11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>
        <v>173033.11</v>
      </c>
      <c r="H459" s="18"/>
      <c r="I459" s="56">
        <f t="shared" si="34"/>
        <v>173033.11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173033.11</v>
      </c>
      <c r="H460" s="83">
        <f>SUM(H454:H459)</f>
        <v>0</v>
      </c>
      <c r="I460" s="83">
        <f>SUM(I454:I459)</f>
        <v>173033.11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173033.11</v>
      </c>
      <c r="H461" s="42">
        <f>H452+H460</f>
        <v>0</v>
      </c>
      <c r="I461" s="42">
        <f>I452+I460</f>
        <v>173033.11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181097.08</v>
      </c>
      <c r="G465" s="18">
        <v>5.96</v>
      </c>
      <c r="H465" s="18">
        <v>0</v>
      </c>
      <c r="I465" s="18"/>
      <c r="J465" s="18">
        <v>193408.03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1865869.76</v>
      </c>
      <c r="G468" s="18">
        <v>1092.3499999999999</v>
      </c>
      <c r="H468" s="18">
        <f>18395.84+10970.53</f>
        <v>29366.370000000003</v>
      </c>
      <c r="I468" s="18"/>
      <c r="J468" s="18">
        <v>71515.08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1865869.76</v>
      </c>
      <c r="G470" s="53">
        <f>SUM(G468:G469)</f>
        <v>1092.3499999999999</v>
      </c>
      <c r="H470" s="53">
        <f>SUM(H468:H469)</f>
        <v>29366.370000000003</v>
      </c>
      <c r="I470" s="53">
        <f>SUM(I468:I469)</f>
        <v>0</v>
      </c>
      <c r="J470" s="53">
        <f>SUM(J468:J469)</f>
        <v>71515.08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1941688.43</v>
      </c>
      <c r="G472" s="18">
        <f>1098.31</f>
        <v>1098.31</v>
      </c>
      <c r="H472" s="18">
        <f>18395.84+10970.53</f>
        <v>29366.370000000003</v>
      </c>
      <c r="I472" s="18"/>
      <c r="J472" s="18">
        <v>91890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1941688.43</v>
      </c>
      <c r="G474" s="53">
        <f>SUM(G472:G473)</f>
        <v>1098.31</v>
      </c>
      <c r="H474" s="53">
        <f>SUM(H472:H473)</f>
        <v>29366.370000000003</v>
      </c>
      <c r="I474" s="53">
        <f>SUM(I472:I473)</f>
        <v>0</v>
      </c>
      <c r="J474" s="53">
        <f>SUM(J472:J473)</f>
        <v>91890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105278.41000000015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173033.11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f>72305+70311.43+2899</f>
        <v>145515.43</v>
      </c>
      <c r="G521" s="18">
        <f>17555.5+6054.66+244.05</f>
        <v>23854.21</v>
      </c>
      <c r="H521" s="18">
        <f>144830.04</f>
        <v>144830.04</v>
      </c>
      <c r="I521" s="18">
        <v>1403.82</v>
      </c>
      <c r="J521" s="18"/>
      <c r="K521" s="18"/>
      <c r="L521" s="88">
        <f>SUM(F521:K521)</f>
        <v>315603.5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145515.43</v>
      </c>
      <c r="G524" s="108">
        <f t="shared" ref="G524:L524" si="36">SUM(G521:G523)</f>
        <v>23854.21</v>
      </c>
      <c r="H524" s="108">
        <f t="shared" si="36"/>
        <v>144830.04</v>
      </c>
      <c r="I524" s="108">
        <f t="shared" si="36"/>
        <v>1403.82</v>
      </c>
      <c r="J524" s="108">
        <f t="shared" si="36"/>
        <v>0</v>
      </c>
      <c r="K524" s="108">
        <f t="shared" si="36"/>
        <v>0</v>
      </c>
      <c r="L524" s="89">
        <f t="shared" si="36"/>
        <v>315603.5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0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f>78528+4213.99</f>
        <v>82741.990000000005</v>
      </c>
      <c r="G531" s="18">
        <f>20867.33+831.42</f>
        <v>21698.75</v>
      </c>
      <c r="H531" s="18"/>
      <c r="I531" s="18"/>
      <c r="J531" s="18"/>
      <c r="K531" s="18">
        <v>1124</v>
      </c>
      <c r="L531" s="88">
        <f>SUM(F531:K531)</f>
        <v>105564.74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82741.990000000005</v>
      </c>
      <c r="G534" s="89">
        <f t="shared" ref="G534:L534" si="38">SUM(G531:G533)</f>
        <v>21698.75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1124</v>
      </c>
      <c r="L534" s="89">
        <f t="shared" si="38"/>
        <v>105564.74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v>0</v>
      </c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3879.92</v>
      </c>
      <c r="I541" s="18"/>
      <c r="J541" s="18"/>
      <c r="K541" s="18"/>
      <c r="L541" s="88">
        <f>SUM(F541:K541)</f>
        <v>3879.92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3879.92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3879.92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228257.41999999998</v>
      </c>
      <c r="G545" s="89">
        <f t="shared" ref="G545:L545" si="41">G524+G529+G534+G539+G544</f>
        <v>45552.959999999999</v>
      </c>
      <c r="H545" s="89">
        <f t="shared" si="41"/>
        <v>148709.96000000002</v>
      </c>
      <c r="I545" s="89">
        <f t="shared" si="41"/>
        <v>1403.82</v>
      </c>
      <c r="J545" s="89">
        <f t="shared" si="41"/>
        <v>0</v>
      </c>
      <c r="K545" s="89">
        <f t="shared" si="41"/>
        <v>1124</v>
      </c>
      <c r="L545" s="89">
        <f t="shared" si="41"/>
        <v>425048.16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315603.5</v>
      </c>
      <c r="G549" s="87">
        <f>L526</f>
        <v>0</v>
      </c>
      <c r="H549" s="87">
        <f>L531</f>
        <v>105564.74</v>
      </c>
      <c r="I549" s="87">
        <f>L536</f>
        <v>0</v>
      </c>
      <c r="J549" s="87">
        <f>L541</f>
        <v>3879.92</v>
      </c>
      <c r="K549" s="87">
        <f>SUM(F549:J549)</f>
        <v>425048.16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315603.5</v>
      </c>
      <c r="G552" s="89">
        <f t="shared" si="42"/>
        <v>0</v>
      </c>
      <c r="H552" s="89">
        <f t="shared" si="42"/>
        <v>105564.74</v>
      </c>
      <c r="I552" s="89">
        <f t="shared" si="42"/>
        <v>0</v>
      </c>
      <c r="J552" s="89">
        <f t="shared" si="42"/>
        <v>3879.92</v>
      </c>
      <c r="K552" s="89">
        <f t="shared" si="42"/>
        <v>425048.16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>
        <v>261068.4</v>
      </c>
      <c r="I576" s="87">
        <f t="shared" ref="I576:I587" si="47">SUM(F576:H576)</f>
        <v>261068.4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v>13387.8</v>
      </c>
      <c r="G579" s="18"/>
      <c r="H579" s="18"/>
      <c r="I579" s="87">
        <f t="shared" si="47"/>
        <v>13387.8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50139.1</v>
      </c>
      <c r="I591" s="18"/>
      <c r="J591" s="18"/>
      <c r="K591" s="104">
        <f t="shared" ref="K591:K597" si="48">SUM(H591:J591)</f>
        <v>50139.1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3879.92</v>
      </c>
      <c r="I592" s="18"/>
      <c r="J592" s="18"/>
      <c r="K592" s="104">
        <f t="shared" si="48"/>
        <v>3879.92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>
        <v>1314.5</v>
      </c>
      <c r="I594" s="18"/>
      <c r="J594" s="18"/>
      <c r="K594" s="104">
        <f t="shared" si="48"/>
        <v>1314.5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272.5</v>
      </c>
      <c r="I595" s="18"/>
      <c r="J595" s="18"/>
      <c r="K595" s="104">
        <f t="shared" si="48"/>
        <v>272.5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55606.02</v>
      </c>
      <c r="I598" s="108">
        <f>SUM(I591:I597)</f>
        <v>0</v>
      </c>
      <c r="J598" s="108">
        <f>SUM(J591:J597)</f>
        <v>0</v>
      </c>
      <c r="K598" s="108">
        <f>SUM(K591:K597)</f>
        <v>55606.02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f>1012.88+9170.25+12374.65+1482.21</f>
        <v>24039.989999999998</v>
      </c>
      <c r="I604" s="18"/>
      <c r="J604" s="18"/>
      <c r="K604" s="104">
        <f>SUM(H604:J604)</f>
        <v>24039.989999999998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24039.989999999998</v>
      </c>
      <c r="I605" s="108">
        <f>SUM(I602:I604)</f>
        <v>0</v>
      </c>
      <c r="J605" s="108">
        <f>SUM(J602:J604)</f>
        <v>0</v>
      </c>
      <c r="K605" s="108">
        <f>SUM(K602:K604)</f>
        <v>24039.989999999998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108982.84000000001</v>
      </c>
      <c r="H617" s="109">
        <f>SUM(F52)</f>
        <v>108982.84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36.17</v>
      </c>
      <c r="H618" s="109">
        <f>SUM(G52)</f>
        <v>36.17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4207.1400000000003</v>
      </c>
      <c r="H619" s="109">
        <f>SUM(H52)</f>
        <v>4207.1400000000003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173033.11</v>
      </c>
      <c r="H621" s="109">
        <f>SUM(J52)</f>
        <v>173033.11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105278.40999999999</v>
      </c>
      <c r="H622" s="109">
        <f>F476</f>
        <v>105278.41000000015</v>
      </c>
      <c r="I622" s="121" t="s">
        <v>101</v>
      </c>
      <c r="J622" s="109">
        <f t="shared" ref="J622:J655" si="50">G622-H622</f>
        <v>-1.6007106751203537E-10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173033.11</v>
      </c>
      <c r="H626" s="109">
        <f>J476</f>
        <v>173033.11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1865869.7600000002</v>
      </c>
      <c r="H627" s="104">
        <f>SUM(F468)</f>
        <v>1865869.76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1092.3499999999999</v>
      </c>
      <c r="H628" s="104">
        <f>SUM(G468)</f>
        <v>1092.3499999999999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29366.370000000003</v>
      </c>
      <c r="H629" s="104">
        <f>SUM(H468)</f>
        <v>29366.370000000003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71515.08</v>
      </c>
      <c r="H631" s="104">
        <f>SUM(J468)</f>
        <v>71515.08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1941688.43</v>
      </c>
      <c r="H632" s="104">
        <f>SUM(F472)</f>
        <v>1941688.43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29366.37</v>
      </c>
      <c r="H633" s="104">
        <f>SUM(H472)</f>
        <v>29366.370000000003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543.30999999999995</v>
      </c>
      <c r="H634" s="104">
        <f>I369</f>
        <v>543.30999999999995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1098.31</v>
      </c>
      <c r="H635" s="104">
        <f>SUM(G472)</f>
        <v>1098.31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71515.08</v>
      </c>
      <c r="H637" s="164">
        <f>SUM(J468)</f>
        <v>71515.08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91890</v>
      </c>
      <c r="H638" s="164">
        <f>SUM(J472)</f>
        <v>91890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173033.11</v>
      </c>
      <c r="H640" s="104">
        <f>SUM(G461)</f>
        <v>173033.11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173033.11</v>
      </c>
      <c r="H642" s="104">
        <f>SUM(I461)</f>
        <v>173033.11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1515.08</v>
      </c>
      <c r="H644" s="104">
        <f>H408</f>
        <v>1515.0799999999997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70000</v>
      </c>
      <c r="H645" s="104">
        <f>G408</f>
        <v>70000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71515.08</v>
      </c>
      <c r="H646" s="104">
        <f>L408</f>
        <v>71515.08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55606.02</v>
      </c>
      <c r="H647" s="104">
        <f>L208+L226+L244</f>
        <v>55606.02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24039.989999999998</v>
      </c>
      <c r="H648" s="104">
        <f>(J257+J338)-(J255+J336)</f>
        <v>24039.989999999998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55606.02</v>
      </c>
      <c r="H649" s="104">
        <f>H598</f>
        <v>55606.02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0</v>
      </c>
      <c r="H651" s="104">
        <f>J598</f>
        <v>0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129.38999999999999</v>
      </c>
      <c r="H652" s="104">
        <f>K263+K345</f>
        <v>129.38999999999999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70000</v>
      </c>
      <c r="H655" s="104">
        <f>K266+K347</f>
        <v>70000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1640955.3200000003</v>
      </c>
      <c r="G660" s="19">
        <f>(L229+L309+L359)</f>
        <v>0</v>
      </c>
      <c r="H660" s="19">
        <f>(L247+L328+L360)</f>
        <v>261068.4</v>
      </c>
      <c r="I660" s="19">
        <f>SUM(F660:H660)</f>
        <v>1902023.7200000002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472.03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472.03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55606.02</v>
      </c>
      <c r="G662" s="19">
        <f>(L226+L306)-(J226+J306)</f>
        <v>0</v>
      </c>
      <c r="H662" s="19">
        <f>(L244+L325)-(J244+J325)</f>
        <v>0</v>
      </c>
      <c r="I662" s="19">
        <f>SUM(F662:H662)</f>
        <v>55606.02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37427.789999999994</v>
      </c>
      <c r="G663" s="199">
        <f>SUM(G575:G587)+SUM(I602:I604)+L612</f>
        <v>0</v>
      </c>
      <c r="H663" s="199">
        <f>SUM(H575:H587)+SUM(J602:J604)+L613</f>
        <v>261068.4</v>
      </c>
      <c r="I663" s="19">
        <f>SUM(F663:H663)</f>
        <v>298496.19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1547449.4800000002</v>
      </c>
      <c r="G664" s="19">
        <f>G660-SUM(G661:G663)</f>
        <v>0</v>
      </c>
      <c r="H664" s="19">
        <f>H660-SUM(H661:H663)</f>
        <v>0</v>
      </c>
      <c r="I664" s="19">
        <f>I660-SUM(I661:I663)</f>
        <v>1547449.4800000002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67.05</v>
      </c>
      <c r="G665" s="248"/>
      <c r="H665" s="248"/>
      <c r="I665" s="19">
        <f>SUM(F665:H665)</f>
        <v>67.05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23079.040000000001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23079.040000000001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23079.040000000001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23079.040000000001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4" workbookViewId="0">
      <selection activeCell="C20" sqref="C2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SOUTH HAMPTON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464267.96</v>
      </c>
      <c r="C9" s="229">
        <f>'DOE25'!G197+'DOE25'!G215+'DOE25'!G233+'DOE25'!G276+'DOE25'!G295+'DOE25'!G314</f>
        <v>165248.92000000001</v>
      </c>
    </row>
    <row r="10" spans="1:3" x14ac:dyDescent="0.2">
      <c r="A10" t="s">
        <v>778</v>
      </c>
      <c r="B10" s="240">
        <v>432413.52</v>
      </c>
      <c r="C10" s="240">
        <v>162589.03</v>
      </c>
    </row>
    <row r="11" spans="1:3" x14ac:dyDescent="0.2">
      <c r="A11" t="s">
        <v>779</v>
      </c>
      <c r="B11" s="240">
        <v>19463.439999999999</v>
      </c>
      <c r="C11" s="240">
        <v>1702.07</v>
      </c>
    </row>
    <row r="12" spans="1:3" x14ac:dyDescent="0.2">
      <c r="A12" t="s">
        <v>780</v>
      </c>
      <c r="B12" s="240">
        <v>12391</v>
      </c>
      <c r="C12" s="240">
        <v>957.82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464267.96</v>
      </c>
      <c r="C13" s="231">
        <f>SUM(C10:C12)</f>
        <v>165248.92000000001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228257.42</v>
      </c>
      <c r="C18" s="229">
        <f>'DOE25'!G198+'DOE25'!G216+'DOE25'!G234+'DOE25'!G277+'DOE25'!G296+'DOE25'!G315</f>
        <v>45552.960000000006</v>
      </c>
    </row>
    <row r="19" spans="1:3" x14ac:dyDescent="0.2">
      <c r="A19" t="s">
        <v>778</v>
      </c>
      <c r="B19" s="240">
        <v>72305</v>
      </c>
      <c r="C19" s="240">
        <v>17555.5</v>
      </c>
    </row>
    <row r="20" spans="1:3" x14ac:dyDescent="0.2">
      <c r="A20" t="s">
        <v>779</v>
      </c>
      <c r="B20" s="240">
        <f>2899+70311.43</f>
        <v>73210.429999999993</v>
      </c>
      <c r="C20" s="240">
        <f>244.05+6054.66</f>
        <v>6298.71</v>
      </c>
    </row>
    <row r="21" spans="1:3" x14ac:dyDescent="0.2">
      <c r="A21" t="s">
        <v>780</v>
      </c>
      <c r="B21" s="240">
        <f>78528+4213.99</f>
        <v>82741.990000000005</v>
      </c>
      <c r="C21" s="240">
        <f>20867.33+831.42</f>
        <v>21698.75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228257.41999999998</v>
      </c>
      <c r="C22" s="231">
        <f>SUM(C19:C21)</f>
        <v>45552.959999999999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7770</v>
      </c>
      <c r="C36" s="235">
        <f>'DOE25'!G200+'DOE25'!G218+'DOE25'!G236+'DOE25'!G279+'DOE25'!G298+'DOE25'!G317</f>
        <v>635.59</v>
      </c>
    </row>
    <row r="37" spans="1:3" x14ac:dyDescent="0.2">
      <c r="A37" t="s">
        <v>778</v>
      </c>
      <c r="B37" s="240"/>
      <c r="C37" s="240"/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>
        <v>7770</v>
      </c>
      <c r="C39" s="240">
        <v>635.59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7770</v>
      </c>
      <c r="C40" s="231">
        <f>SUM(C37:C39)</f>
        <v>635.59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SOUTH HAMPTON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1343094.6199999999</v>
      </c>
      <c r="D5" s="20">
        <f>SUM('DOE25'!L197:L200)+SUM('DOE25'!L215:L218)+SUM('DOE25'!L233:L236)-F5-G5</f>
        <v>1341970.6199999999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1124</v>
      </c>
      <c r="H5" s="259"/>
    </row>
    <row r="6" spans="1:9" x14ac:dyDescent="0.2">
      <c r="A6" s="32">
        <v>2100</v>
      </c>
      <c r="B6" t="s">
        <v>800</v>
      </c>
      <c r="C6" s="245">
        <f t="shared" si="0"/>
        <v>71606.02</v>
      </c>
      <c r="D6" s="20">
        <f>'DOE25'!L202+'DOE25'!L220+'DOE25'!L238-F6-G6</f>
        <v>71541.02</v>
      </c>
      <c r="E6" s="243"/>
      <c r="F6" s="255">
        <f>'DOE25'!J202+'DOE25'!J220+'DOE25'!J238</f>
        <v>65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59510.58</v>
      </c>
      <c r="D7" s="20">
        <f>'DOE25'!L203+'DOE25'!L221+'DOE25'!L239-F7-G7</f>
        <v>51846.490000000005</v>
      </c>
      <c r="E7" s="243"/>
      <c r="F7" s="255">
        <f>'DOE25'!J203+'DOE25'!J221+'DOE25'!J239</f>
        <v>7664.09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25526.320000000003</v>
      </c>
      <c r="D8" s="243"/>
      <c r="E8" s="20">
        <f>'DOE25'!L204+'DOE25'!L222+'DOE25'!L240-F8-G8-D9-D11</f>
        <v>22322.370000000003</v>
      </c>
      <c r="F8" s="255">
        <f>'DOE25'!J204+'DOE25'!J222+'DOE25'!J240</f>
        <v>0</v>
      </c>
      <c r="G8" s="53">
        <f>'DOE25'!K204+'DOE25'!K222+'DOE25'!K240</f>
        <v>3203.95</v>
      </c>
      <c r="H8" s="259"/>
    </row>
    <row r="9" spans="1:9" x14ac:dyDescent="0.2">
      <c r="A9" s="32">
        <v>2310</v>
      </c>
      <c r="B9" t="s">
        <v>817</v>
      </c>
      <c r="C9" s="245">
        <f t="shared" si="0"/>
        <v>18063.91</v>
      </c>
      <c r="D9" s="244">
        <v>18063.91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7150</v>
      </c>
      <c r="D10" s="243"/>
      <c r="E10" s="244">
        <v>7150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9913.9699999999993</v>
      </c>
      <c r="D11" s="244">
        <v>9913.9699999999993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165347.81</v>
      </c>
      <c r="D12" s="20">
        <f>'DOE25'!L205+'DOE25'!L223+'DOE25'!L241-F12-G12</f>
        <v>163761.81</v>
      </c>
      <c r="E12" s="243"/>
      <c r="F12" s="255">
        <f>'DOE25'!J205+'DOE25'!J223+'DOE25'!J241</f>
        <v>0</v>
      </c>
      <c r="G12" s="53">
        <f>'DOE25'!K205+'DOE25'!K223+'DOE25'!K241</f>
        <v>1586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121837.12</v>
      </c>
      <c r="D14" s="20">
        <f>'DOE25'!L207+'DOE25'!L225+'DOE25'!L243-F14-G14</f>
        <v>115709.34999999999</v>
      </c>
      <c r="E14" s="243"/>
      <c r="F14" s="255">
        <f>'DOE25'!J207+'DOE25'!J225+'DOE25'!J243</f>
        <v>6127.77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55606.02</v>
      </c>
      <c r="D15" s="20">
        <f>'DOE25'!L208+'DOE25'!L226+'DOE25'!L244-F15-G15</f>
        <v>55606.02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1052.67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1052.67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555</v>
      </c>
      <c r="D29" s="20">
        <f>'DOE25'!L358+'DOE25'!L359+'DOE25'!L360-'DOE25'!I367-F29-G29</f>
        <v>555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29366.37</v>
      </c>
      <c r="D31" s="20">
        <f>'DOE25'!L290+'DOE25'!L309+'DOE25'!L328+'DOE25'!L333+'DOE25'!L334+'DOE25'!L335-F31-G31</f>
        <v>18497.48</v>
      </c>
      <c r="E31" s="243"/>
      <c r="F31" s="255">
        <f>'DOE25'!J290+'DOE25'!J309+'DOE25'!J328+'DOE25'!J333+'DOE25'!J334+'DOE25'!J335</f>
        <v>10183.129999999999</v>
      </c>
      <c r="G31" s="53">
        <f>'DOE25'!K290+'DOE25'!K309+'DOE25'!K328+'DOE25'!K333+'DOE25'!K334+'DOE25'!K335</f>
        <v>685.76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1847465.67</v>
      </c>
      <c r="E33" s="246">
        <f>SUM(E5:E31)</f>
        <v>29472.370000000003</v>
      </c>
      <c r="F33" s="246">
        <f>SUM(F5:F31)</f>
        <v>24039.989999999998</v>
      </c>
      <c r="G33" s="246">
        <f>SUM(G5:G31)</f>
        <v>7652.38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29472.370000000003</v>
      </c>
      <c r="E35" s="249"/>
    </row>
    <row r="36" spans="2:8" ht="12" thickTop="1" x14ac:dyDescent="0.2">
      <c r="B36" t="s">
        <v>814</v>
      </c>
      <c r="D36" s="20">
        <f>D33</f>
        <v>1847465.67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SOUTH HAMPTON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91176.94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173033.11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4243.3100000000004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12308.49</v>
      </c>
      <c r="D12" s="95">
        <f>'DOE25'!G13</f>
        <v>36.17</v>
      </c>
      <c r="E12" s="95">
        <f>'DOE25'!H13</f>
        <v>4207.1400000000003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779.1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475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108982.84000000001</v>
      </c>
      <c r="D18" s="41">
        <f>SUM(D8:D17)</f>
        <v>36.17</v>
      </c>
      <c r="E18" s="41">
        <f>SUM(E8:E17)</f>
        <v>4207.1400000000003</v>
      </c>
      <c r="F18" s="41">
        <f>SUM(F8:F17)</f>
        <v>0</v>
      </c>
      <c r="G18" s="41">
        <f>SUM(G8:G17)</f>
        <v>173033.11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36.17</v>
      </c>
      <c r="E21" s="95">
        <f>'DOE25'!H22</f>
        <v>4207.1400000000003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1798.78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1157.7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747.95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3704.4300000000003</v>
      </c>
      <c r="D31" s="41">
        <f>SUM(D21:D30)</f>
        <v>36.17</v>
      </c>
      <c r="E31" s="41">
        <f>SUM(E21:E30)</f>
        <v>4207.1400000000003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475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25000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6828.4800000000005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173033.11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1000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71974.929999999993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105278.40999999999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173033.11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108982.84</v>
      </c>
      <c r="D51" s="41">
        <f>D50+D31</f>
        <v>36.17</v>
      </c>
      <c r="E51" s="41">
        <f>E50+E31</f>
        <v>4207.1400000000003</v>
      </c>
      <c r="F51" s="41">
        <f>F50+F31</f>
        <v>0</v>
      </c>
      <c r="G51" s="41">
        <f>G50+G31</f>
        <v>173033.11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1351984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22.08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1515.08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472.03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22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44.08</v>
      </c>
      <c r="D62" s="130">
        <f>SUM(D57:D61)</f>
        <v>472.03</v>
      </c>
      <c r="E62" s="130">
        <f>SUM(E57:E61)</f>
        <v>0</v>
      </c>
      <c r="F62" s="130">
        <f>SUM(F57:F61)</f>
        <v>0</v>
      </c>
      <c r="G62" s="130">
        <f>SUM(G57:G61)</f>
        <v>1515.08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1352028.08</v>
      </c>
      <c r="D63" s="22">
        <f>D56+D62</f>
        <v>472.03</v>
      </c>
      <c r="E63" s="22">
        <f>E56+E62</f>
        <v>0</v>
      </c>
      <c r="F63" s="22">
        <f>F56+F62</f>
        <v>0</v>
      </c>
      <c r="G63" s="22">
        <f>G56+G62</f>
        <v>1515.08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79991.399999999994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305630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20444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406065.4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6552.17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6552.17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412617.57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9334.11</v>
      </c>
      <c r="D88" s="95">
        <f>SUM('DOE25'!G153:G161)</f>
        <v>490.93</v>
      </c>
      <c r="E88" s="95">
        <f>SUM('DOE25'!H153:H161)</f>
        <v>29366.370000000003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9334.11</v>
      </c>
      <c r="D91" s="131">
        <f>SUM(D85:D90)</f>
        <v>490.93</v>
      </c>
      <c r="E91" s="131">
        <f>SUM(E85:E90)</f>
        <v>29366.370000000003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129.38999999999999</v>
      </c>
      <c r="E96" s="95">
        <f>'DOE25'!H179</f>
        <v>0</v>
      </c>
      <c r="F96" s="95">
        <f>'DOE25'!I179</f>
        <v>0</v>
      </c>
      <c r="G96" s="95">
        <f>'DOE25'!J179</f>
        <v>70000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91890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91890</v>
      </c>
      <c r="D103" s="86">
        <f>SUM(D93:D102)</f>
        <v>129.38999999999999</v>
      </c>
      <c r="E103" s="86">
        <f>SUM(E93:E102)</f>
        <v>0</v>
      </c>
      <c r="F103" s="86">
        <f>SUM(F93:F102)</f>
        <v>0</v>
      </c>
      <c r="G103" s="86">
        <f>SUM(G93:G102)</f>
        <v>70000</v>
      </c>
    </row>
    <row r="104" spans="1:7" ht="12.75" thickTop="1" thickBot="1" x14ac:dyDescent="0.25">
      <c r="A104" s="33" t="s">
        <v>764</v>
      </c>
      <c r="C104" s="86">
        <f>C63+C81+C91+C103</f>
        <v>1865869.7600000002</v>
      </c>
      <c r="D104" s="86">
        <f>D63+D81+D91+D103</f>
        <v>1092.3499999999999</v>
      </c>
      <c r="E104" s="86">
        <f>E63+E81+E91+E103</f>
        <v>29366.370000000003</v>
      </c>
      <c r="F104" s="86">
        <f>F63+F81+F91+F103</f>
        <v>0</v>
      </c>
      <c r="G104" s="86">
        <f>G63+G81+G103</f>
        <v>71515.08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913925.1</v>
      </c>
      <c r="D109" s="24" t="s">
        <v>288</v>
      </c>
      <c r="E109" s="95">
        <f>('DOE25'!L276)+('DOE25'!L295)+('DOE25'!L314)</f>
        <v>12341.39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418025.19</v>
      </c>
      <c r="D110" s="24" t="s">
        <v>288</v>
      </c>
      <c r="E110" s="95">
        <f>('DOE25'!L277)+('DOE25'!L296)+('DOE25'!L315)</f>
        <v>13964.289999999999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11144.33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1343094.62</v>
      </c>
      <c r="D115" s="86">
        <f>SUM(D109:D114)</f>
        <v>0</v>
      </c>
      <c r="E115" s="86">
        <f>SUM(E109:E114)</f>
        <v>26305.68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71606.02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59510.58</v>
      </c>
      <c r="D119" s="24" t="s">
        <v>288</v>
      </c>
      <c r="E119" s="95">
        <f>+('DOE25'!L282)+('DOE25'!L301)+('DOE25'!L320)</f>
        <v>2536.9299999999998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53504.2</v>
      </c>
      <c r="D120" s="24" t="s">
        <v>288</v>
      </c>
      <c r="E120" s="95">
        <f>+('DOE25'!L283)+('DOE25'!L302)+('DOE25'!L321)</f>
        <v>523.76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165347.81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121837.12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55606.02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1052.67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1098.31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528464.42000000004</v>
      </c>
      <c r="D128" s="86">
        <f>SUM(D118:D127)</f>
        <v>1098.31</v>
      </c>
      <c r="E128" s="86">
        <f>SUM(E118:E127)</f>
        <v>3060.6899999999996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91890</v>
      </c>
    </row>
    <row r="135" spans="1:7" x14ac:dyDescent="0.2">
      <c r="A135" t="s">
        <v>233</v>
      </c>
      <c r="B135" s="32" t="s">
        <v>234</v>
      </c>
      <c r="C135" s="95">
        <f>'DOE25'!L263</f>
        <v>129.38999999999999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38.75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71476.33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-1515.0800000000017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70129.39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91890</v>
      </c>
    </row>
    <row r="145" spans="1:9" ht="12.75" thickTop="1" thickBot="1" x14ac:dyDescent="0.25">
      <c r="A145" s="33" t="s">
        <v>244</v>
      </c>
      <c r="C145" s="86">
        <f>(C115+C128+C144)</f>
        <v>1941688.43</v>
      </c>
      <c r="D145" s="86">
        <f>(D115+D128+D144)</f>
        <v>1098.31</v>
      </c>
      <c r="E145" s="86">
        <f>(E115+E128+E144)</f>
        <v>29366.37</v>
      </c>
      <c r="F145" s="86">
        <f>(F115+F128+F144)</f>
        <v>0</v>
      </c>
      <c r="G145" s="86">
        <f>(G115+G128+G144)</f>
        <v>91890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SOUTH HAMPTON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23079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23079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926266</v>
      </c>
      <c r="D10" s="182">
        <f>ROUND((C10/$C$28)*100,1)</f>
        <v>48.7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431989</v>
      </c>
      <c r="D11" s="182">
        <f>ROUND((C11/$C$28)*100,1)</f>
        <v>22.7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11144</v>
      </c>
      <c r="D13" s="182">
        <f>ROUND((C13/$C$28)*100,1)</f>
        <v>0.6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71606</v>
      </c>
      <c r="D15" s="182">
        <f t="shared" ref="D15:D27" si="0">ROUND((C15/$C$28)*100,1)</f>
        <v>3.8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62048</v>
      </c>
      <c r="D16" s="182">
        <f t="shared" si="0"/>
        <v>3.3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55081</v>
      </c>
      <c r="D17" s="182">
        <f t="shared" si="0"/>
        <v>2.9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165348</v>
      </c>
      <c r="D18" s="182">
        <f t="shared" si="0"/>
        <v>8.6999999999999993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121837</v>
      </c>
      <c r="D20" s="182">
        <f t="shared" si="0"/>
        <v>6.4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55606</v>
      </c>
      <c r="D21" s="182">
        <f t="shared" si="0"/>
        <v>2.9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625.97</v>
      </c>
      <c r="D27" s="182">
        <f t="shared" si="0"/>
        <v>0</v>
      </c>
    </row>
    <row r="28" spans="1:4" x14ac:dyDescent="0.2">
      <c r="B28" s="187" t="s">
        <v>722</v>
      </c>
      <c r="C28" s="180">
        <f>SUM(C10:C27)</f>
        <v>1901550.97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1901550.97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1351984</v>
      </c>
      <c r="D35" s="182">
        <f t="shared" ref="D35:D40" si="1">ROUND((C35/$C$41)*100,1)</f>
        <v>74.900000000000006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1559.160000000149</v>
      </c>
      <c r="D36" s="182">
        <f t="shared" si="1"/>
        <v>0.1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385621</v>
      </c>
      <c r="D37" s="182">
        <f t="shared" si="1"/>
        <v>21.4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26996</v>
      </c>
      <c r="D38" s="182">
        <f t="shared" si="1"/>
        <v>1.5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39191</v>
      </c>
      <c r="D39" s="182">
        <f t="shared" si="1"/>
        <v>2.2000000000000002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1805351.1600000001</v>
      </c>
      <c r="D41" s="184">
        <f>SUM(D35:D40)</f>
        <v>100.10000000000001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SOUTH HAMPTON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2017-09-01T11:46:07Z</cp:lastPrinted>
  <dcterms:created xsi:type="dcterms:W3CDTF">1997-12-04T19:04:30Z</dcterms:created>
  <dcterms:modified xsi:type="dcterms:W3CDTF">2017-11-29T18:05:19Z</dcterms:modified>
</cp:coreProperties>
</file>