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H396" i="1" l="1"/>
  <c r="G439" i="1"/>
  <c r="J465" i="1"/>
  <c r="C37" i="12" l="1"/>
  <c r="C19" i="12"/>
  <c r="B21" i="12"/>
  <c r="C10" i="12"/>
  <c r="B12" i="12"/>
  <c r="B10" i="12"/>
  <c r="B11" i="12"/>
  <c r="I526" i="1"/>
  <c r="H604" i="1"/>
  <c r="H591" i="1"/>
  <c r="I281" i="1"/>
  <c r="H282" i="1"/>
  <c r="F472" i="1"/>
  <c r="F468" i="1"/>
  <c r="J197" i="1"/>
  <c r="I197" i="1"/>
  <c r="H208" i="1"/>
  <c r="H244" i="1"/>
  <c r="H240" i="1"/>
  <c r="H207" i="1"/>
  <c r="H205" i="1"/>
  <c r="H204" i="1"/>
  <c r="K203" i="1"/>
  <c r="H202" i="1"/>
  <c r="H197" i="1"/>
  <c r="H472" i="1"/>
  <c r="H468" i="1"/>
  <c r="H154" i="1"/>
  <c r="H155" i="1"/>
  <c r="H22" i="1"/>
  <c r="H28" i="1"/>
  <c r="F110" i="1"/>
  <c r="F28" i="1"/>
  <c r="H491" i="1" l="1"/>
  <c r="H492" i="1"/>
  <c r="H358" i="1"/>
  <c r="G24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C110" i="2" s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C123" i="2" s="1"/>
  <c r="L225" i="1"/>
  <c r="L243" i="1"/>
  <c r="F15" i="13"/>
  <c r="G15" i="13"/>
  <c r="L208" i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C13" i="10" s="1"/>
  <c r="L281" i="1"/>
  <c r="L282" i="1"/>
  <c r="E119" i="2" s="1"/>
  <c r="L283" i="1"/>
  <c r="L284" i="1"/>
  <c r="L285" i="1"/>
  <c r="L286" i="1"/>
  <c r="L287" i="1"/>
  <c r="E124" i="2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9" i="10"/>
  <c r="L250" i="1"/>
  <c r="L332" i="1"/>
  <c r="L254" i="1"/>
  <c r="L268" i="1"/>
  <c r="L269" i="1"/>
  <c r="L349" i="1"/>
  <c r="L350" i="1"/>
  <c r="I665" i="1"/>
  <c r="I670" i="1"/>
  <c r="L229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C120" i="2"/>
  <c r="E120" i="2"/>
  <c r="E121" i="2"/>
  <c r="C122" i="2"/>
  <c r="E122" i="2"/>
  <c r="E123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F338" i="1" s="1"/>
  <c r="F352" i="1" s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I446" i="1"/>
  <c r="G642" i="1" s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I460" i="1"/>
  <c r="I461" i="1" s="1"/>
  <c r="H642" i="1" s="1"/>
  <c r="H461" i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G545" i="1" s="1"/>
  <c r="H529" i="1"/>
  <c r="I529" i="1"/>
  <c r="I545" i="1" s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40" i="1"/>
  <c r="G641" i="1"/>
  <c r="H641" i="1"/>
  <c r="G643" i="1"/>
  <c r="H643" i="1"/>
  <c r="G644" i="1"/>
  <c r="G645" i="1"/>
  <c r="H645" i="1"/>
  <c r="H647" i="1"/>
  <c r="G650" i="1"/>
  <c r="G651" i="1"/>
  <c r="J651" i="1" s="1"/>
  <c r="G652" i="1"/>
  <c r="H652" i="1"/>
  <c r="G653" i="1"/>
  <c r="H653" i="1"/>
  <c r="G654" i="1"/>
  <c r="H654" i="1"/>
  <c r="H655" i="1"/>
  <c r="F192" i="1"/>
  <c r="L256" i="1"/>
  <c r="C18" i="2"/>
  <c r="C26" i="10"/>
  <c r="L328" i="1"/>
  <c r="L351" i="1"/>
  <c r="A31" i="12"/>
  <c r="C70" i="2"/>
  <c r="A40" i="12"/>
  <c r="D12" i="13"/>
  <c r="C12" i="13" s="1"/>
  <c r="D18" i="13"/>
  <c r="C18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C78" i="2"/>
  <c r="D50" i="2"/>
  <c r="G157" i="2"/>
  <c r="F18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H112" i="1"/>
  <c r="F112" i="1"/>
  <c r="J641" i="1"/>
  <c r="K605" i="1"/>
  <c r="G648" i="1" s="1"/>
  <c r="J571" i="1"/>
  <c r="K571" i="1"/>
  <c r="L433" i="1"/>
  <c r="L419" i="1"/>
  <c r="D81" i="2"/>
  <c r="I169" i="1"/>
  <c r="H169" i="1"/>
  <c r="G552" i="1"/>
  <c r="J643" i="1"/>
  <c r="H476" i="1"/>
  <c r="H624" i="1" s="1"/>
  <c r="J624" i="1" s="1"/>
  <c r="I476" i="1"/>
  <c r="H625" i="1" s="1"/>
  <c r="J625" i="1" s="1"/>
  <c r="F169" i="1"/>
  <c r="J140" i="1"/>
  <c r="F571" i="1"/>
  <c r="I552" i="1"/>
  <c r="K550" i="1"/>
  <c r="G22" i="2"/>
  <c r="K598" i="1"/>
  <c r="G647" i="1" s="1"/>
  <c r="K545" i="1"/>
  <c r="J552" i="1"/>
  <c r="H552" i="1"/>
  <c r="C29" i="10"/>
  <c r="H140" i="1"/>
  <c r="L401" i="1"/>
  <c r="C139" i="2" s="1"/>
  <c r="L393" i="1"/>
  <c r="C138" i="2" s="1"/>
  <c r="A13" i="12"/>
  <c r="F22" i="13"/>
  <c r="H25" i="13"/>
  <c r="C25" i="13" s="1"/>
  <c r="J634" i="1"/>
  <c r="H571" i="1"/>
  <c r="L560" i="1"/>
  <c r="J545" i="1"/>
  <c r="H338" i="1"/>
  <c r="H352" i="1" s="1"/>
  <c r="G192" i="1"/>
  <c r="H192" i="1"/>
  <c r="F552" i="1"/>
  <c r="C35" i="10"/>
  <c r="L309" i="1"/>
  <c r="D5" i="13"/>
  <c r="C5" i="13" s="1"/>
  <c r="E16" i="13"/>
  <c r="J655" i="1"/>
  <c r="J645" i="1"/>
  <c r="L570" i="1"/>
  <c r="I571" i="1"/>
  <c r="J636" i="1"/>
  <c r="G36" i="2"/>
  <c r="L565" i="1"/>
  <c r="K551" i="1"/>
  <c r="C22" i="13"/>
  <c r="C16" i="13"/>
  <c r="H408" i="1" l="1"/>
  <c r="H644" i="1" s="1"/>
  <c r="J644" i="1" s="1"/>
  <c r="J640" i="1"/>
  <c r="J639" i="1"/>
  <c r="L534" i="1"/>
  <c r="L524" i="1"/>
  <c r="L545" i="1" s="1"/>
  <c r="H545" i="1"/>
  <c r="K549" i="1"/>
  <c r="K552" i="1" s="1"/>
  <c r="K338" i="1"/>
  <c r="K352" i="1" s="1"/>
  <c r="C18" i="10"/>
  <c r="E128" i="2"/>
  <c r="C16" i="10"/>
  <c r="L290" i="1"/>
  <c r="L338" i="1" s="1"/>
  <c r="L352" i="1" s="1"/>
  <c r="G633" i="1" s="1"/>
  <c r="J633" i="1" s="1"/>
  <c r="J338" i="1"/>
  <c r="J352" i="1" s="1"/>
  <c r="E109" i="2"/>
  <c r="E115" i="2" s="1"/>
  <c r="C124" i="2"/>
  <c r="C17" i="10"/>
  <c r="K257" i="1"/>
  <c r="K271" i="1" s="1"/>
  <c r="I257" i="1"/>
  <c r="I271" i="1" s="1"/>
  <c r="F257" i="1"/>
  <c r="F271" i="1" s="1"/>
  <c r="C15" i="10"/>
  <c r="G257" i="1"/>
  <c r="G271" i="1" s="1"/>
  <c r="C11" i="10"/>
  <c r="L247" i="1"/>
  <c r="H660" i="1" s="1"/>
  <c r="C10" i="10"/>
  <c r="H257" i="1"/>
  <c r="H271" i="1" s="1"/>
  <c r="C132" i="2"/>
  <c r="C32" i="10"/>
  <c r="H33" i="13"/>
  <c r="D15" i="13"/>
  <c r="C15" i="13" s="1"/>
  <c r="G649" i="1"/>
  <c r="J649" i="1" s="1"/>
  <c r="C21" i="10"/>
  <c r="F662" i="1"/>
  <c r="I662" i="1" s="1"/>
  <c r="J647" i="1"/>
  <c r="C20" i="10"/>
  <c r="C121" i="2"/>
  <c r="E33" i="13"/>
  <c r="D35" i="13" s="1"/>
  <c r="L211" i="1"/>
  <c r="C109" i="2"/>
  <c r="C115" i="2" s="1"/>
  <c r="H52" i="1"/>
  <c r="H619" i="1" s="1"/>
  <c r="J619" i="1" s="1"/>
  <c r="C81" i="2"/>
  <c r="C62" i="2"/>
  <c r="C63" i="2" s="1"/>
  <c r="J617" i="1"/>
  <c r="F476" i="1"/>
  <c r="H622" i="1" s="1"/>
  <c r="J622" i="1" s="1"/>
  <c r="K503" i="1"/>
  <c r="G164" i="2"/>
  <c r="K500" i="1"/>
  <c r="G476" i="1"/>
  <c r="H623" i="1" s="1"/>
  <c r="J623" i="1" s="1"/>
  <c r="H661" i="1"/>
  <c r="D145" i="2"/>
  <c r="G661" i="1"/>
  <c r="L362" i="1"/>
  <c r="C27" i="10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I663" i="1"/>
  <c r="H646" i="1" l="1"/>
  <c r="J646" i="1" s="1"/>
  <c r="E145" i="2"/>
  <c r="F660" i="1"/>
  <c r="F664" i="1" s="1"/>
  <c r="F667" i="1" s="1"/>
  <c r="D31" i="13"/>
  <c r="C31" i="13" s="1"/>
  <c r="C128" i="2"/>
  <c r="C145" i="2" s="1"/>
  <c r="H664" i="1"/>
  <c r="H667" i="1" s="1"/>
  <c r="C28" i="10"/>
  <c r="D23" i="10" s="1"/>
  <c r="L257" i="1"/>
  <c r="L271" i="1" s="1"/>
  <c r="G632" i="1" s="1"/>
  <c r="J632" i="1" s="1"/>
  <c r="C104" i="2"/>
  <c r="I661" i="1"/>
  <c r="G664" i="1"/>
  <c r="G635" i="1"/>
  <c r="J635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I660" i="1"/>
  <c r="I664" i="1" s="1"/>
  <c r="I672" i="1" s="1"/>
  <c r="C7" i="10" s="1"/>
  <c r="H672" i="1"/>
  <c r="C6" i="10" s="1"/>
  <c r="D27" i="10"/>
  <c r="D11" i="10"/>
  <c r="D19" i="10"/>
  <c r="D17" i="10"/>
  <c r="D25" i="10"/>
  <c r="D12" i="10"/>
  <c r="D20" i="10"/>
  <c r="D22" i="10"/>
  <c r="D13" i="10"/>
  <c r="D18" i="10"/>
  <c r="D10" i="10"/>
  <c r="D21" i="10"/>
  <c r="D15" i="10"/>
  <c r="D24" i="10"/>
  <c r="D26" i="10"/>
  <c r="D16" i="10"/>
  <c r="C30" i="10"/>
  <c r="F672" i="1"/>
  <c r="C4" i="10" s="1"/>
  <c r="G672" i="1"/>
  <c r="C5" i="10" s="1"/>
  <c r="G667" i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<sst xmlns="http://schemas.openxmlformats.org/spreadsheetml/2006/main" count="3961" uniqueCount="917">
  <si>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</si>
  <si>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</si>
  <si>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</si>
  <si>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</si>
  <si>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</si>
  <si>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</si>
  <si>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</si>
  <si>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</si>
  <si>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</si>
  <si>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</si>
  <si>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</si>
  <si>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</si>
  <si>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</si>
  <si>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</si>
  <si>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</si>
  <si>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</si>
  <si>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</si>
  <si>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</si>
  <si>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</si>
  <si>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</si>
  <si>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</si>
  <si>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</si>
  <si>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</si>
  <si>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</si>
  <si>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</si>
  <si>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</si>
  <si>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</si>
  <si>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</si>
  <si>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</si>
  <si>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</si>
  <si>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</si>
  <si>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</si>
  <si>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</si>
  <si>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</si>
  <si>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</si>
  <si>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</si>
  <si>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</si>
  <si>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</si>
  <si>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</si>
  <si>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</si>
  <si>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</si>
  <si>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</si>
  <si>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</si>
  <si>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</si>
  <si>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</si>
  <si>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</si>
  <si>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</si>
  <si>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</si>
  <si>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</si>
  <si>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</si>
  <si>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</si>
  <si>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</si>
  <si>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</si>
  <si>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</si>
  <si>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</si>
  <si>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</si>
  <si>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</si>
  <si>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</si>
  <si>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</si>
  <si>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</si>
  <si>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</si>
  <si>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</si>
  <si>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</si>
  <si>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</si>
  <si>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</si>
  <si>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</si>
  <si>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</si>
  <si>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</si>
  <si>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</si>
  <si>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</si>
  <si>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</si>
  <si>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</si>
  <si>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</si>
  <si>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</si>
  <si>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</si>
  <si>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</si>
  <si>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</si>
  <si>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</si>
  <si>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</si>
  <si>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</si>
  <si>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</si>
  <si>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</si>
  <si>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</si>
  <si>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</si>
  <si>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</si>
  <si>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</si>
  <si>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</si>
  <si>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</si>
  <si>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</si>
  <si>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</si>
  <si>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</si>
  <si>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</si>
  <si>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</si>
  <si>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</si>
  <si>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</si>
  <si>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</si>
  <si>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</si>
  <si>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</si>
  <si>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</si>
  <si>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</si>
  <si>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</si>
  <si>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</si>
  <si>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</si>
  <si>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</si>
  <si>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</si>
  <si>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</si>
  <si>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</si>
  <si>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</si>
  <si>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</si>
  <si>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</si>
  <si>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</si>
  <si>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</si>
  <si>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</si>
  <si>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</si>
  <si>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</si>
  <si>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</si>
  <si>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</si>
  <si>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</si>
  <si>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</si>
  <si>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</si>
  <si>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</si>
  <si>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</si>
  <si>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</si>
  <si>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</si>
  <si>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</si>
  <si>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</si>
  <si>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</si>
  <si>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</si>
  <si>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</si>
  <si>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</si>
  <si>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</si>
  <si>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</si>
  <si>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</si>
  <si>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</si>
  <si>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</si>
  <si>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</si>
  <si>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</si>
  <si>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</si>
  <si>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</si>
  <si>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</si>
  <si>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</si>
  <si>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</si>
  <si>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</si>
  <si>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</si>
  <si>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</si>
  <si>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</si>
  <si>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</si>
  <si>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</si>
  <si>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</si>
  <si>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</si>
  <si>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</si>
  <si>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</si>
  <si>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</si>
  <si>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</si>
  <si>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</si>
  <si>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</si>
  <si>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</si>
  <si>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</si>
  <si>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</si>
  <si>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</si>
  <si>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</si>
  <si>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</si>
  <si>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</si>
  <si>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</si>
  <si>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</si>
  <si>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</si>
  <si>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</si>
  <si>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</si>
  <si>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</si>
  <si>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</si>
  <si>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</si>
  <si>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</si>
  <si>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</si>
  <si>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</si>
  <si>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</si>
  <si>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</si>
  <si>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</si>
  <si>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</si>
  <si>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</si>
  <si>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</si>
  <si>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</si>
  <si>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</si>
  <si>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</si>
  <si>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</si>
  <si>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</si>
  <si>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</si>
  <si>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</si>
  <si>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</si>
  <si>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</si>
  <si>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</si>
  <si>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</si>
  <si>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</si>
  <si>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</si>
  <si>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</si>
  <si>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</si>
  <si>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</si>
  <si>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</si>
  <si>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</si>
  <si>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</si>
  <si>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</si>
  <si>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</si>
  <si>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</si>
  <si>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</si>
  <si>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</si>
  <si>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</si>
  <si>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</si>
  <si>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</si>
  <si>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</si>
  <si>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</si>
  <si>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</si>
  <si>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</si>
  <si>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</si>
  <si>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</si>
  <si>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</si>
  <si>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</si>
  <si>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</si>
  <si>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</si>
  <si>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</si>
  <si>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</si>
  <si>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</si>
  <si>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</si>
  <si>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</si>
  <si>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</si>
  <si>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</si>
  <si>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</si>
  <si>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</si>
  <si>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</si>
  <si>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</si>
  <si>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</si>
  <si>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</si>
  <si>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</si>
  <si>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</si>
  <si>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</si>
  <si>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</si>
  <si>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</si>
  <si>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</si>
  <si>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</si>
  <si>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</si>
  <si>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</si>
  <si>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</si>
  <si>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</si>
  <si>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</si>
  <si>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</si>
  <si>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</si>
  <si>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</si>
  <si>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</si>
  <si>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</si>
  <si>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</si>
  <si>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</si>
  <si>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</si>
  <si>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</si>
  <si>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</si>
  <si>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</si>
  <si>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</si>
  <si>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</si>
  <si>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</si>
  <si>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</si>
  <si>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</si>
  <si>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</si>
  <si>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</si>
  <si>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</si>
  <si>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</si>
  <si>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</si>
  <si>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</si>
  <si>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</si>
  <si>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</si>
  <si>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</si>
  <si>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</si>
  <si>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</si>
  <si>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</si>
  <si>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</si>
  <si>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</si>
  <si>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</si>
  <si>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</si>
  <si>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</si>
  <si>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</si>
  <si>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</si>
  <si>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</si>
  <si>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</si>
  <si>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</si>
  <si>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</si>
  <si>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</si>
  <si>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</si>
  <si>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</si>
  <si>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</si>
  <si>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</si>
  <si>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</si>
  <si>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</si>
  <si>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</si>
  <si>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</si>
  <si>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</si>
  <si>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</si>
  <si>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</si>
  <si>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</si>
  <si>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</si>
  <si>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</si>
  <si>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</si>
  <si>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</si>
  <si>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</si>
  <si>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</si>
  <si>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</si>
  <si>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</si>
  <si>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</si>
  <si>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</si>
  <si>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</si>
  <si>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</si>
  <si>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</si>
  <si>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</si>
  <si>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</si>
  <si>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</si>
  <si>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</si>
  <si>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</si>
  <si>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</si>
  <si>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</si>
  <si>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</si>
  <si>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</si>
  <si>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</si>
  <si>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</si>
  <si>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</si>
  <si>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</si>
  <si>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</si>
  <si>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</si>
  <si>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</si>
  <si>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</si>
  <si>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</si>
  <si>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</si>
  <si>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</si>
  <si>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</si>
  <si>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</si>
  <si>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</si>
  <si>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</si>
  <si>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</si>
  <si>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</si>
  <si>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</si>
  <si>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</si>
  <si>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</si>
  <si>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</si>
  <si>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</si>
  <si>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</si>
  <si>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</si>
  <si>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</si>
  <si>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</si>
  <si>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</si>
  <si>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</si>
  <si>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</si>
  <si>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</si>
  <si>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</si>
  <si>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</si>
  <si>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</si>
  <si>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</si>
  <si>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</si>
  <si>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</si>
  <si>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</si>
  <si>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</si>
  <si>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</si>
  <si>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</si>
  <si>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</si>
  <si>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</si>
  <si>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</si>
  <si>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</si>
  <si>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</si>
  <si>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</si>
  <si>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</si>
  <si>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</si>
  <si>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</si>
  <si>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</si>
  <si>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</si>
  <si>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</si>
  <si>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</si>
  <si>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</si>
  <si>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</si>
  <si>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</si>
  <si>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</si>
  <si>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</si>
  <si>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</si>
  <si>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</si>
  <si>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</si>
  <si>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</si>
  <si>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</si>
  <si>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</si>
  <si>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</si>
  <si>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</si>
  <si>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</si>
  <si>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</si>
  <si>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</si>
  <si>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</si>
  <si>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</si>
  <si>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</si>
  <si>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</si>
  <si>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</si>
  <si>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</si>
  <si>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</si>
  <si>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</si>
  <si>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</si>
  <si>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</si>
  <si>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</si>
  <si>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</si>
  <si>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</si>
  <si>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</si>
  <si>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</si>
  <si>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</si>
  <si>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</si>
  <si>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</si>
  <si>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</si>
  <si>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</si>
  <si>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</si>
  <si>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</si>
  <si>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</si>
  <si>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</si>
  <si>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</si>
  <si>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</si>
  <si>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</si>
  <si>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</si>
  <si>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</si>
  <si>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</si>
  <si>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</si>
  <si>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</si>
  <si>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</si>
  <si>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</si>
  <si>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</si>
  <si>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</si>
  <si>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</si>
  <si>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</si>
  <si>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</si>
  <si>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</si>
  <si>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</si>
  <si>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</si>
  <si>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</si>
  <si>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</si>
  <si>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</si>
  <si>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</si>
  <si>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</si>
  <si>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</si>
  <si>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</si>
  <si>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</si>
  <si>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</si>
  <si>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</si>
  <si>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</si>
  <si>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</si>
  <si>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</si>
  <si>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</si>
  <si>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</si>
  <si>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</si>
  <si>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</si>
  <si>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</si>
  <si>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</si>
  <si>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</si>
  <si>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</si>
  <si>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</si>
  <si>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</si>
  <si>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</si>
  <si>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</si>
  <si>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</si>
  <si>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</si>
  <si>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</si>
  <si>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</si>
  <si>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</si>
  <si>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</si>
  <si>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</si>
  <si>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</si>
  <si>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</si>
  <si>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</si>
  <si>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</si>
  <si>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</si>
  <si>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</si>
  <si>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</si>
  <si>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</si>
  <si>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</si>
  <si>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</si>
  <si>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</si>
  <si>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</si>
  <si>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</si>
  <si>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</si>
  <si>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</si>
  <si>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</si>
  <si>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</si>
  <si>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</si>
  <si>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</si>
  <si>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</si>
  <si>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</si>
  <si>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</si>
  <si>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</si>
  <si>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</si>
  <si>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</si>
  <si>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</si>
  <si>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</si>
  <si>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</si>
  <si>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</si>
  <si>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</si>
  <si>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</si>
  <si>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</si>
  <si>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</si>
  <si>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</si>
  <si>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</si>
  <si>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</si>
  <si>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</si>
  <si>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</si>
  <si>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</si>
  <si>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</si>
  <si>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</si>
  <si>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</si>
  <si>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</si>
  <si>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</si>
  <si>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</si>
  <si>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</si>
  <si>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</si>
  <si>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</si>
  <si>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</si>
  <si>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</si>
  <si>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</si>
  <si>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</si>
  <si>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</si>
  <si>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</si>
  <si>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</si>
  <si>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</si>
  <si>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</si>
  <si>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</si>
  <si>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</si>
  <si>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</si>
  <si>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</si>
  <si>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</si>
  <si>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</si>
  <si>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</si>
  <si>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</si>
  <si>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</si>
  <si>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</si>
  <si>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</si>
  <si>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</si>
  <si>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</si>
  <si>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</si>
  <si>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</si>
  <si>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</si>
  <si>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</si>
  <si>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</si>
  <si>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</si>
  <si>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</si>
  <si>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</si>
  <si>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</si>
  <si>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</si>
  <si>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</si>
  <si>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</si>
  <si>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</si>
  <si>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</si>
  <si>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</si>
  <si>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</si>
  <si>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</si>
  <si>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</si>
  <si>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</si>
  <si>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</si>
  <si>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</si>
  <si>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</si>
  <si>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</si>
  <si>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</si>
  <si>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</si>
  <si>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</si>
  <si>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</si>
  <si>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</si>
  <si>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</si>
  <si>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</si>
  <si>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</si>
  <si>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</si>
  <si>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</si>
  <si>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</si>
  <si>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</si>
  <si>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</si>
  <si>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</si>
  <si>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</si>
  <si>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</si>
  <si>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</si>
  <si>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</si>
  <si>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</si>
  <si>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</si>
  <si>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</si>
  <si>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</si>
  <si>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</si>
  <si>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</si>
  <si>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</si>
  <si>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</si>
  <si>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</si>
  <si>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</si>
  <si>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</si>
  <si>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</si>
  <si>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</si>
  <si>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</si>
  <si>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</si>
  <si>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</si>
  <si>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</si>
  <si>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</si>
  <si>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</si>
  <si>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</si>
  <si>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</si>
  <si>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</si>
  <si>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</si>
  <si>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</si>
  <si>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</si>
  <si>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</si>
  <si>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</si>
  <si>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</si>
  <si>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</si>
  <si>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</si>
  <si>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</si>
  <si>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</si>
  <si>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</si>
  <si>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</si>
  <si>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</si>
  <si>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</si>
  <si>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</si>
  <si>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</si>
  <si>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</si>
  <si>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</si>
  <si>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</si>
  <si>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</si>
  <si>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</si>
  <si>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</si>
  <si>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</si>
  <si>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</si>
  <si>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</si>
  <si>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</si>
  <si>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</si>
  <si>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</si>
  <si>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</si>
  <si>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</si>
  <si>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</si>
  <si>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</si>
  <si>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</si>
  <si>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</si>
  <si>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</si>
  <si>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</si>
  <si>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</si>
  <si>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</si>
  <si>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</si>
  <si>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</si>
  <si>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</si>
  <si>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</si>
  <si>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</si>
  <si>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</si>
  <si>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</si>
  <si>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</si>
  <si>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</si>
  <si>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</si>
  <si>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</si>
  <si>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</si>
  <si>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</si>
  <si>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</si>
  <si>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</si>
  <si>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</si>
  <si>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</si>
  <si>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</si>
  <si>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</si>
  <si>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</si>
  <si>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</si>
  <si>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</si>
  <si>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</si>
  <si>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</si>
  <si>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</si>
  <si>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</si>
  <si>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</si>
  <si>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</si>
  <si>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</si>
  <si>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</si>
  <si>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</si>
  <si>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</si>
  <si>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</si>
  <si>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</si>
  <si>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</si>
  <si>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</si>
  <si>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</si>
  <si>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</si>
  <si>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</si>
  <si>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</si>
  <si>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</si>
  <si>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</si>
  <si>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</si>
  <si>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</si>
  <si>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</si>
  <si>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</si>
  <si>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</si>
  <si>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</si>
  <si>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</si>
  <si>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</si>
  <si>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</si>
  <si>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</si>
  <si>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</si>
  <si>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</si>
  <si>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</si>
  <si>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</si>
  <si>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</si>
  <si>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</si>
  <si>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</si>
  <si>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</si>
  <si>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</si>
  <si>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</si>
  <si>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</si>
  <si>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</si>
  <si>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</si>
  <si>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</si>
  <si>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</si>
  <si>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</si>
  <si>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</si>
  <si>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</si>
  <si>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</si>
  <si>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</si>
  <si>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</si>
  <si>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</si>
  <si>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</si>
  <si>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</si>
  <si>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</si>
  <si>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</si>
  <si>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</si>
  <si>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</si>
  <si>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</si>
  <si>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</si>
  <si>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</si>
  <si>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</si>
  <si>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</si>
  <si>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</si>
  <si>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</si>
  <si>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</si>
  <si>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</si>
  <si>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</si>
  <si>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</si>
  <si>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</si>
  <si>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</si>
  <si>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</si>
  <si>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</si>
  <si>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</si>
  <si>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</si>
  <si>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</si>
  <si>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</si>
  <si>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</si>
  <si>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</si>
  <si>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</si>
  <si>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</si>
  <si>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</si>
  <si>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</si>
  <si>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</si>
  <si>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</si>
  <si>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</si>
  <si>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</si>
  <si>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</si>
  <si>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</si>
  <si>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</si>
  <si>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</si>
  <si>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</si>
  <si>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</si>
  <si>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</si>
  <si>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</si>
  <si>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</si>
  <si>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</si>
  <si>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</si>
  <si>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</si>
  <si>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</si>
  <si>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</si>
  <si>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</si>
  <si>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</si>
  <si>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</si>
  <si>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</si>
  <si>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</si>
  <si>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</si>
  <si>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</si>
  <si>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</si>
  <si>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</si>
  <si>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</si>
  <si>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</si>
  <si>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</si>
  <si>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</si>
  <si>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</si>
  <si>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</si>
  <si>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</si>
  <si>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</si>
  <si>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</si>
  <si>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</si>
  <si>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</si>
  <si>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</si>
  <si>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</si>
  <si>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</si>
  <si>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</si>
  <si>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</si>
  <si>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</si>
  <si>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</si>
  <si>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</si>
  <si>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</si>
  <si>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</si>
  <si>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</si>
  <si>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</si>
  <si>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</si>
  <si>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</si>
  <si>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</si>
  <si>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</si>
  <si>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</si>
  <si>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</si>
  <si>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</si>
  <si>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</si>
  <si>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</si>
  <si>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</si>
  <si>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</si>
  <si>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</si>
  <si>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</si>
  <si>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</si>
  <si>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</si>
  <si>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</si>
  <si>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</si>
  <si>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</si>
  <si>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</si>
  <si>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</si>
  <si>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</si>
  <si>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</si>
  <si>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</si>
  <si>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</si>
  <si>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</si>
  <si>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</si>
  <si>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</si>
  <si>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</si>
  <si>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</si>
  <si>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</si>
  <si>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</si>
  <si>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</si>
  <si>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</si>
  <si>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</si>
  <si>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</si>
  <si>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</si>
  <si>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</si>
  <si>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</si>
  <si>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</si>
  <si>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</si>
  <si>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</si>
  <si>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</si>
  <si>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</si>
  <si>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</si>
  <si>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</si>
  <si>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</si>
  <si>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</si>
  <si>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</si>
  <si>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</si>
  <si>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</si>
  <si>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</si>
  <si>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</si>
  <si>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</si>
  <si>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</si>
  <si>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</si>
  <si>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</si>
  <si>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</si>
  <si>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</si>
  <si>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</si>
  <si>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</si>
  <si>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</si>
  <si>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</si>
  <si>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</si>
  <si>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</si>
  <si>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</si>
  <si>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</si>
  <si>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</si>
  <si>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</si>
  <si>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</si>
  <si>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</si>
  <si>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</si>
  <si>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</si>
  <si>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</si>
  <si>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</si>
  <si>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</si>
  <si>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</si>
  <si>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</si>
  <si>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</si>
  <si>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</si>
  <si>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</si>
  <si>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</si>
  <si>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</si>
  <si>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</si>
  <si>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</si>
  <si>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</si>
  <si>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</si>
  <si>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</si>
  <si>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</si>
  <si>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</si>
  <si>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</si>
  <si>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</si>
  <si>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</si>
  <si>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</si>
  <si>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</si>
  <si>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</si>
  <si>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</si>
  <si>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</si>
  <si>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</si>
  <si>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</si>
  <si>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</si>
  <si>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</si>
  <si>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</si>
  <si>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</si>
  <si>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</si>
  <si>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</si>
  <si>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</si>
  <si>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</si>
  <si>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</si>
  <si>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</si>
  <si>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</si>
  <si>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</si>
  <si>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</si>
  <si>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</si>
  <si>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</si>
  <si>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</si>
  <si>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</si>
  <si>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</si>
  <si>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</si>
  <si>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</si>
  <si>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</si>
  <si>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</si>
  <si>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</si>
  <si>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</si>
  <si>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</si>
  <si>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</si>
  <si>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</si>
  <si>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</si>
  <si>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STEWARTSTOWN SCHOOL DISTRICT</t>
  </si>
  <si>
    <t>Food Service Adjustment inventory increase by $ 406.02</t>
  </si>
  <si>
    <t>08/1997</t>
  </si>
  <si>
    <t>08/2017</t>
  </si>
  <si>
    <t>NFR under 2190 District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</si>
</sst>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198" sqref="H19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501</v>
      </c>
      <c r="C2" s="21">
        <v>501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216033.98</v>
      </c>
      <c r="G9" s="18">
        <v>7392.88</v>
      </c>
      <c r="H9" s="18"/>
      <c r="I9" s="18"/>
      <c r="J9" s="67">
        <f>SUM(I439)</f>
        <v>206366.38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35637.050000000003</v>
      </c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63251.78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75.23</v>
      </c>
      <c r="G13" s="18">
        <v>1479.58</v>
      </c>
      <c r="H13" s="18">
        <v>83911.69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>
        <v>67.05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2034.87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314998.04000000004</v>
      </c>
      <c r="G19" s="41">
        <f>SUM(G9:G18)</f>
        <v>10974.379999999997</v>
      </c>
      <c r="H19" s="41">
        <f>SUM(H9:H18)</f>
        <v>83911.69</v>
      </c>
      <c r="I19" s="41">
        <f>SUM(I9:I18)</f>
        <v>0</v>
      </c>
      <c r="J19" s="41">
        <f>SUM(J9:J18)</f>
        <v>206366.38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>
        <f>19008.22+5178+22193.57+20300+336.33+631.8-4396.14</f>
        <v>63251.780000000013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6741.15</v>
      </c>
      <c r="G24" s="18">
        <f>3168.77+155.72</f>
        <v>3324.49</v>
      </c>
      <c r="H24" s="18">
        <v>1.68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f>2200.38+168.32</f>
        <v>2368.7000000000003</v>
      </c>
      <c r="G28" s="18"/>
      <c r="H28" s="18">
        <f>5440+416.21+820.43+8196.95+627.04+763.14</f>
        <v>16263.77</v>
      </c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3442.12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>
        <v>4394.46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12551.970000000001</v>
      </c>
      <c r="G32" s="41">
        <f>SUM(G22:G31)</f>
        <v>3324.49</v>
      </c>
      <c r="H32" s="41">
        <f>SUM(H22:H31)</f>
        <v>83911.690000000017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v>2034.87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5615.02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37000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206366.38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134665.55+2132011.94-2001231.42</f>
        <v>265446.06999999983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302446.06999999983</v>
      </c>
      <c r="G51" s="41">
        <f>SUM(G35:G50)</f>
        <v>7649.89</v>
      </c>
      <c r="H51" s="41">
        <f>SUM(H35:H50)</f>
        <v>0</v>
      </c>
      <c r="I51" s="41">
        <f>SUM(I35:I50)</f>
        <v>0</v>
      </c>
      <c r="J51" s="41">
        <f>SUM(J35:J50)</f>
        <v>206366.38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314998.0399999998</v>
      </c>
      <c r="G52" s="41">
        <f>G51+G32</f>
        <v>10974.380000000001</v>
      </c>
      <c r="H52" s="41">
        <f>H51+H32</f>
        <v>83911.690000000017</v>
      </c>
      <c r="I52" s="41">
        <f>I51+I32</f>
        <v>0</v>
      </c>
      <c r="J52" s="41">
        <f>J51+J32</f>
        <v>206366.38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1313396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1313396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429.78</v>
      </c>
      <c r="G96" s="18"/>
      <c r="H96" s="18"/>
      <c r="I96" s="18"/>
      <c r="J96" s="18">
        <v>158.04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12305.7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v>2754.92</v>
      </c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3141.6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624.56+4202.42</f>
        <v>4826.9799999999996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11153.279999999999</v>
      </c>
      <c r="G111" s="41">
        <f>SUM(G96:G110)</f>
        <v>12305.7</v>
      </c>
      <c r="H111" s="41">
        <f>SUM(H96:H110)</f>
        <v>0</v>
      </c>
      <c r="I111" s="41">
        <f>SUM(I96:I110)</f>
        <v>0</v>
      </c>
      <c r="J111" s="41">
        <f>SUM(J96:J110)</f>
        <v>158.04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1324549.28</v>
      </c>
      <c r="G112" s="41">
        <f>G60+G111</f>
        <v>12305.7</v>
      </c>
      <c r="H112" s="41">
        <f>H60+H79+H94+H111</f>
        <v>0</v>
      </c>
      <c r="I112" s="41">
        <f>I60+I111</f>
        <v>0</v>
      </c>
      <c r="J112" s="41">
        <f>J60+J111</f>
        <v>158.04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546117.77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166607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712724.77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14086.24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675.28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>
        <v>4542.3999999999996</v>
      </c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14086.24</v>
      </c>
      <c r="G136" s="41">
        <f>SUM(G123:G135)</f>
        <v>675.28</v>
      </c>
      <c r="H136" s="41">
        <f>SUM(H123:H135)</f>
        <v>4542.3999999999996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726811.01</v>
      </c>
      <c r="G140" s="41">
        <f>G121+SUM(G136:G137)</f>
        <v>675.28</v>
      </c>
      <c r="H140" s="41">
        <f>H121+SUM(H136:H139)</f>
        <v>4542.3999999999996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f>17047.79+88016.7+200+1789.95+85504.99+22134.91</f>
        <v>214694.34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21744.84+1787.86</f>
        <v>23532.7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24985.71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3051.65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3051.65</v>
      </c>
      <c r="G162" s="41">
        <f>SUM(G150:G161)</f>
        <v>24985.71</v>
      </c>
      <c r="H162" s="41">
        <f>SUM(H150:H161)</f>
        <v>238227.04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5805.31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8856.9600000000009</v>
      </c>
      <c r="G169" s="41">
        <f>G147+G162+SUM(G163:G168)</f>
        <v>24985.71</v>
      </c>
      <c r="H169" s="41">
        <f>H147+H162+SUM(H163:H168)</f>
        <v>238227.04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20000</v>
      </c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20000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>
        <v>77600</v>
      </c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77600</v>
      </c>
      <c r="G192" s="41">
        <f>G183+SUM(G188:G191)</f>
        <v>20000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2137817.25</v>
      </c>
      <c r="G193" s="47">
        <f>G112+G140+G169+G192</f>
        <v>57966.69</v>
      </c>
      <c r="H193" s="47">
        <f>H112+H140+H169+H192</f>
        <v>242769.44</v>
      </c>
      <c r="I193" s="47">
        <f>I112+I140+I169+I192</f>
        <v>0</v>
      </c>
      <c r="J193" s="47">
        <f>J112+J140+J192</f>
        <v>158.04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264284.21000000002</v>
      </c>
      <c r="G197" s="18">
        <v>169425.01</v>
      </c>
      <c r="H197" s="18">
        <f>17812.36+1382.51+6690</f>
        <v>25884.87</v>
      </c>
      <c r="I197" s="18">
        <f>16341.02+218.89+400.82</f>
        <v>16960.73</v>
      </c>
      <c r="J197" s="18">
        <f>5323.52+1138.5+4047.1</f>
        <v>10509.12</v>
      </c>
      <c r="K197" s="18">
        <v>1.2</v>
      </c>
      <c r="L197" s="19">
        <f>SUM(F197:K197)</f>
        <v>487065.14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90333.06</v>
      </c>
      <c r="G198" s="18">
        <v>23577.34</v>
      </c>
      <c r="H198" s="18">
        <v>3159.95</v>
      </c>
      <c r="I198" s="18">
        <v>169.36</v>
      </c>
      <c r="J198" s="18"/>
      <c r="K198" s="18"/>
      <c r="L198" s="19">
        <f>SUM(F198:K198)</f>
        <v>117239.70999999999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8928.1</v>
      </c>
      <c r="G202" s="18">
        <v>768.27</v>
      </c>
      <c r="H202" s="18">
        <f>199432.8+110+48.5</f>
        <v>199591.3</v>
      </c>
      <c r="I202" s="18">
        <v>2313.8200000000002</v>
      </c>
      <c r="J202" s="18">
        <v>1643.89</v>
      </c>
      <c r="K202" s="18">
        <v>1071.72</v>
      </c>
      <c r="L202" s="19">
        <f t="shared" ref="L202:L208" si="0">SUM(F202:K202)</f>
        <v>214317.1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25509.62</v>
      </c>
      <c r="G203" s="18">
        <v>2122.25</v>
      </c>
      <c r="H203" s="18">
        <v>848.69</v>
      </c>
      <c r="I203" s="18">
        <v>2834.77</v>
      </c>
      <c r="J203" s="18">
        <v>398.61</v>
      </c>
      <c r="K203" s="18">
        <f>1216.3+1450</f>
        <v>2666.3</v>
      </c>
      <c r="L203" s="19">
        <f t="shared" si="0"/>
        <v>34380.239999999998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2277.1</v>
      </c>
      <c r="G204" s="18">
        <v>182.51</v>
      </c>
      <c r="H204" s="18">
        <f>80945.42+4297.33</f>
        <v>85242.75</v>
      </c>
      <c r="I204" s="18">
        <v>401.52</v>
      </c>
      <c r="J204" s="18"/>
      <c r="K204" s="18">
        <v>2225.81</v>
      </c>
      <c r="L204" s="19">
        <f t="shared" si="0"/>
        <v>90329.69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80071.12</v>
      </c>
      <c r="G205" s="18">
        <v>45815.27</v>
      </c>
      <c r="H205" s="18">
        <f>1468.46+110+3573.07</f>
        <v>5151.5300000000007</v>
      </c>
      <c r="I205" s="18">
        <v>1112.79</v>
      </c>
      <c r="J205" s="18"/>
      <c r="K205" s="18">
        <v>1063</v>
      </c>
      <c r="L205" s="19">
        <f t="shared" si="0"/>
        <v>133213.71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27811.56</v>
      </c>
      <c r="G207" s="18">
        <v>18363.849999999999</v>
      </c>
      <c r="H207" s="18">
        <f>6612.85+25021.15+4669.92</f>
        <v>36303.919999999998</v>
      </c>
      <c r="I207" s="18">
        <v>28473.8</v>
      </c>
      <c r="J207" s="18">
        <v>2980.25</v>
      </c>
      <c r="K207" s="18">
        <v>1281</v>
      </c>
      <c r="L207" s="19">
        <f t="shared" si="0"/>
        <v>115214.38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33073.040000000001</v>
      </c>
      <c r="G208" s="18">
        <v>4462.6000000000004</v>
      </c>
      <c r="H208" s="18">
        <f>34767.63+2173.28</f>
        <v>36940.909999999996</v>
      </c>
      <c r="I208" s="18">
        <v>9919.57</v>
      </c>
      <c r="J208" s="18">
        <v>77600</v>
      </c>
      <c r="K208" s="18">
        <v>380.75</v>
      </c>
      <c r="L208" s="19">
        <f t="shared" si="0"/>
        <v>162376.87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532287.80999999994</v>
      </c>
      <c r="G211" s="41">
        <f t="shared" si="1"/>
        <v>264717.09999999998</v>
      </c>
      <c r="H211" s="41">
        <f t="shared" si="1"/>
        <v>393123.92</v>
      </c>
      <c r="I211" s="41">
        <f t="shared" si="1"/>
        <v>62186.36</v>
      </c>
      <c r="J211" s="41">
        <f t="shared" si="1"/>
        <v>93131.87</v>
      </c>
      <c r="K211" s="41">
        <f t="shared" si="1"/>
        <v>8689.7800000000007</v>
      </c>
      <c r="L211" s="41">
        <f t="shared" si="1"/>
        <v>1354136.8399999999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523101.01</v>
      </c>
      <c r="I233" s="18"/>
      <c r="J233" s="18"/>
      <c r="K233" s="18"/>
      <c r="L233" s="19">
        <f>SUM(F233:K233)</f>
        <v>523101.01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60</v>
      </c>
      <c r="G234" s="18">
        <v>13.88</v>
      </c>
      <c r="H234" s="18">
        <v>10085.25</v>
      </c>
      <c r="I234" s="18"/>
      <c r="J234" s="18"/>
      <c r="K234" s="18"/>
      <c r="L234" s="19">
        <f>SUM(F234:K234)</f>
        <v>10159.129999999999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>
        <v>1863.88</v>
      </c>
      <c r="I238" s="18"/>
      <c r="J238" s="18"/>
      <c r="K238" s="18"/>
      <c r="L238" s="19">
        <f t="shared" ref="L238:L244" si="4">SUM(F238:K238)</f>
        <v>1863.88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1581.93</v>
      </c>
      <c r="G240" s="18">
        <v>125.17</v>
      </c>
      <c r="H240" s="18">
        <f>26699.79+1495.07</f>
        <v>28194.86</v>
      </c>
      <c r="I240" s="18">
        <v>50.63</v>
      </c>
      <c r="J240" s="18"/>
      <c r="K240" s="18">
        <v>649.54</v>
      </c>
      <c r="L240" s="19">
        <f t="shared" si="4"/>
        <v>30602.13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10728.09</v>
      </c>
      <c r="G244" s="18">
        <v>1400.86</v>
      </c>
      <c r="H244" s="18">
        <f>2620.47+757.95</f>
        <v>3378.42</v>
      </c>
      <c r="I244" s="18">
        <v>3013.79</v>
      </c>
      <c r="J244" s="18"/>
      <c r="K244" s="18">
        <v>127.58</v>
      </c>
      <c r="L244" s="19">
        <f t="shared" si="4"/>
        <v>18648.740000000002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12370.02</v>
      </c>
      <c r="G247" s="41">
        <f t="shared" si="5"/>
        <v>1539.9099999999999</v>
      </c>
      <c r="H247" s="41">
        <f t="shared" si="5"/>
        <v>566623.42000000004</v>
      </c>
      <c r="I247" s="41">
        <f t="shared" si="5"/>
        <v>3064.42</v>
      </c>
      <c r="J247" s="41">
        <f t="shared" si="5"/>
        <v>0</v>
      </c>
      <c r="K247" s="41">
        <f t="shared" si="5"/>
        <v>777.12</v>
      </c>
      <c r="L247" s="41">
        <f t="shared" si="5"/>
        <v>584374.89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544657.82999999996</v>
      </c>
      <c r="G257" s="41">
        <f t="shared" si="8"/>
        <v>266257.00999999995</v>
      </c>
      <c r="H257" s="41">
        <f t="shared" si="8"/>
        <v>959747.34000000008</v>
      </c>
      <c r="I257" s="41">
        <f t="shared" si="8"/>
        <v>65250.78</v>
      </c>
      <c r="J257" s="41">
        <f t="shared" si="8"/>
        <v>93131.87</v>
      </c>
      <c r="K257" s="41">
        <f t="shared" si="8"/>
        <v>9466.9000000000015</v>
      </c>
      <c r="L257" s="41">
        <f t="shared" si="8"/>
        <v>1938511.73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45000</v>
      </c>
      <c r="L260" s="19">
        <f>SUM(F260:K260)</f>
        <v>45000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3525</v>
      </c>
      <c r="L261" s="19">
        <f>SUM(F261:K261)</f>
        <v>3525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20000</v>
      </c>
      <c r="L263" s="19">
        <f>SUM(F263:K263)</f>
        <v>20000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68525</v>
      </c>
      <c r="L270" s="41">
        <f t="shared" si="9"/>
        <v>68525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544657.82999999996</v>
      </c>
      <c r="G271" s="42">
        <f t="shared" si="11"/>
        <v>266257.00999999995</v>
      </c>
      <c r="H271" s="42">
        <f t="shared" si="11"/>
        <v>959747.34000000008</v>
      </c>
      <c r="I271" s="42">
        <f t="shared" si="11"/>
        <v>65250.78</v>
      </c>
      <c r="J271" s="42">
        <f t="shared" si="11"/>
        <v>93131.87</v>
      </c>
      <c r="K271" s="42">
        <f t="shared" si="11"/>
        <v>77991.899999999994</v>
      </c>
      <c r="L271" s="42">
        <f t="shared" si="11"/>
        <v>2007036.73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83352.05</v>
      </c>
      <c r="G276" s="18">
        <v>22843.119999999999</v>
      </c>
      <c r="H276" s="18"/>
      <c r="I276" s="18">
        <v>416.26</v>
      </c>
      <c r="J276" s="18">
        <v>387.9</v>
      </c>
      <c r="K276" s="18"/>
      <c r="L276" s="19">
        <f>SUM(F276:K276)</f>
        <v>106999.32999999999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12547.2</v>
      </c>
      <c r="G279" s="18">
        <v>2182.13</v>
      </c>
      <c r="H279" s="18"/>
      <c r="I279" s="18"/>
      <c r="J279" s="18"/>
      <c r="K279" s="18"/>
      <c r="L279" s="19">
        <f>SUM(F279:K279)</f>
        <v>14729.330000000002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216</v>
      </c>
      <c r="G281" s="18">
        <v>16.52</v>
      </c>
      <c r="H281" s="18"/>
      <c r="I281" s="18">
        <f>933.9+1354.02</f>
        <v>2287.92</v>
      </c>
      <c r="J281" s="18"/>
      <c r="K281" s="18">
        <v>4542.3999999999996</v>
      </c>
      <c r="L281" s="19">
        <f t="shared" ref="L281:L287" si="12">SUM(F281:K281)</f>
        <v>7062.84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14638.45</v>
      </c>
      <c r="G282" s="18">
        <v>2805.56</v>
      </c>
      <c r="H282" s="18">
        <f>82618.5+618.11</f>
        <v>83236.61</v>
      </c>
      <c r="I282" s="18">
        <v>349.7</v>
      </c>
      <c r="J282" s="18"/>
      <c r="K282" s="18"/>
      <c r="L282" s="19">
        <f t="shared" si="12"/>
        <v>101030.31999999999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5856.25</v>
      </c>
      <c r="G283" s="18">
        <v>1342.65</v>
      </c>
      <c r="H283" s="18">
        <v>152</v>
      </c>
      <c r="I283" s="18"/>
      <c r="J283" s="18"/>
      <c r="K283" s="18"/>
      <c r="L283" s="19">
        <f t="shared" si="12"/>
        <v>7350.9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>
        <v>1800</v>
      </c>
      <c r="G284" s="18">
        <v>440.04</v>
      </c>
      <c r="H284" s="18"/>
      <c r="I284" s="18"/>
      <c r="J284" s="18"/>
      <c r="K284" s="18"/>
      <c r="L284" s="19">
        <f t="shared" si="12"/>
        <v>2240.04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>
        <v>2643.97</v>
      </c>
      <c r="L285" s="19">
        <f t="shared" si="12"/>
        <v>2643.97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>
        <v>662.06</v>
      </c>
      <c r="G287" s="18">
        <v>50.65</v>
      </c>
      <c r="H287" s="18"/>
      <c r="I287" s="18"/>
      <c r="J287" s="18"/>
      <c r="K287" s="18"/>
      <c r="L287" s="19">
        <f t="shared" si="12"/>
        <v>712.70999999999992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119072.01</v>
      </c>
      <c r="G290" s="42">
        <f t="shared" si="13"/>
        <v>29680.670000000006</v>
      </c>
      <c r="H290" s="42">
        <f t="shared" si="13"/>
        <v>83388.61</v>
      </c>
      <c r="I290" s="42">
        <f t="shared" si="13"/>
        <v>3053.88</v>
      </c>
      <c r="J290" s="42">
        <f t="shared" si="13"/>
        <v>387.9</v>
      </c>
      <c r="K290" s="42">
        <f t="shared" si="13"/>
        <v>7186.369999999999</v>
      </c>
      <c r="L290" s="41">
        <f t="shared" si="13"/>
        <v>242769.43999999997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119072.01</v>
      </c>
      <c r="G338" s="41">
        <f t="shared" si="20"/>
        <v>29680.670000000006</v>
      </c>
      <c r="H338" s="41">
        <f t="shared" si="20"/>
        <v>83388.61</v>
      </c>
      <c r="I338" s="41">
        <f t="shared" si="20"/>
        <v>3053.88</v>
      </c>
      <c r="J338" s="41">
        <f t="shared" si="20"/>
        <v>387.9</v>
      </c>
      <c r="K338" s="41">
        <f t="shared" si="20"/>
        <v>7186.369999999999</v>
      </c>
      <c r="L338" s="41">
        <f t="shared" si="20"/>
        <v>242769.43999999997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119072.01</v>
      </c>
      <c r="G352" s="41">
        <f>G338</f>
        <v>29680.670000000006</v>
      </c>
      <c r="H352" s="41">
        <f>H338</f>
        <v>83388.61</v>
      </c>
      <c r="I352" s="41">
        <f>I338</f>
        <v>3053.88</v>
      </c>
      <c r="J352" s="41">
        <f>J338</f>
        <v>387.9</v>
      </c>
      <c r="K352" s="47">
        <f>K338+K351</f>
        <v>7186.369999999999</v>
      </c>
      <c r="L352" s="41">
        <f>L338+L351</f>
        <v>242769.43999999997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>
        <v>8.5500000000000007</v>
      </c>
      <c r="H358" s="18">
        <f>1617.26+53952.31+156.48</f>
        <v>55726.05</v>
      </c>
      <c r="I358" s="18"/>
      <c r="J358" s="18"/>
      <c r="K358" s="18"/>
      <c r="L358" s="13">
        <f>SUM(F358:K358)</f>
        <v>55734.600000000006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8.5500000000000007</v>
      </c>
      <c r="H362" s="47">
        <f t="shared" si="22"/>
        <v>55726.05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55734.600000000006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>
        <v>22.52</v>
      </c>
      <c r="I390" s="18"/>
      <c r="J390" s="24" t="s">
        <v>288</v>
      </c>
      <c r="K390" s="24" t="s">
        <v>288</v>
      </c>
      <c r="L390" s="56">
        <f t="shared" si="25"/>
        <v>22.52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22.52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22.52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>
        <f>14.52</f>
        <v>14.52</v>
      </c>
      <c r="I396" s="18"/>
      <c r="J396" s="24" t="s">
        <v>288</v>
      </c>
      <c r="K396" s="24" t="s">
        <v>288</v>
      </c>
      <c r="L396" s="56">
        <f t="shared" si="26"/>
        <v>14.52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>
        <v>117.29</v>
      </c>
      <c r="I398" s="18"/>
      <c r="J398" s="24" t="s">
        <v>288</v>
      </c>
      <c r="K398" s="24" t="s">
        <v>288</v>
      </c>
      <c r="L398" s="56">
        <f t="shared" si="26"/>
        <v>117.29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v>3.71</v>
      </c>
      <c r="I400" s="18"/>
      <c r="J400" s="24" t="s">
        <v>288</v>
      </c>
      <c r="K400" s="24" t="s">
        <v>288</v>
      </c>
      <c r="L400" s="56">
        <f t="shared" si="26"/>
        <v>3.71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135.52000000000001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135.52000000000001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158.04000000000002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158.04000000000002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22219.91</v>
      </c>
      <c r="G439" s="18">
        <f>206366.38-22219.91</f>
        <v>184146.47</v>
      </c>
      <c r="H439" s="18"/>
      <c r="I439" s="56">
        <f t="shared" ref="I439:I445" si="33">SUM(F439:H439)</f>
        <v>206366.38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22219.91</v>
      </c>
      <c r="G446" s="13">
        <f>SUM(G439:G445)</f>
        <v>184146.47</v>
      </c>
      <c r="H446" s="13">
        <f>SUM(H439:H445)</f>
        <v>0</v>
      </c>
      <c r="I446" s="13">
        <f>SUM(I439:I445)</f>
        <v>206366.38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22219.91</v>
      </c>
      <c r="G459" s="18">
        <v>184146.47</v>
      </c>
      <c r="H459" s="18"/>
      <c r="I459" s="56">
        <f t="shared" si="34"/>
        <v>206366.38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22219.91</v>
      </c>
      <c r="G460" s="83">
        <f>SUM(G454:G459)</f>
        <v>184146.47</v>
      </c>
      <c r="H460" s="83">
        <f>SUM(H454:H459)</f>
        <v>0</v>
      </c>
      <c r="I460" s="83">
        <f>SUM(I454:I459)</f>
        <v>206366.38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22219.91</v>
      </c>
      <c r="G461" s="42">
        <f>G452+G460</f>
        <v>184146.47</v>
      </c>
      <c r="H461" s="42">
        <f>H452+H460</f>
        <v>0</v>
      </c>
      <c r="I461" s="42">
        <f>I452+I460</f>
        <v>206366.38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171665.55</v>
      </c>
      <c r="G465" s="18">
        <v>5011.78</v>
      </c>
      <c r="H465" s="18"/>
      <c r="I465" s="18"/>
      <c r="J465" s="18">
        <f>205944.32+264.02</f>
        <v>206208.34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2132011.94+5805.31</f>
        <v>2137817.25</v>
      </c>
      <c r="G468" s="18">
        <v>57966.69</v>
      </c>
      <c r="H468" s="18">
        <f>248574.75-5805.31</f>
        <v>242769.44</v>
      </c>
      <c r="I468" s="18"/>
      <c r="J468" s="18">
        <v>158.04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>
        <v>406.02</v>
      </c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2137817.25</v>
      </c>
      <c r="G470" s="53">
        <f>SUM(G468:G469)</f>
        <v>58372.71</v>
      </c>
      <c r="H470" s="53">
        <f>SUM(H468:H469)</f>
        <v>242769.44</v>
      </c>
      <c r="I470" s="53">
        <f>SUM(I468:I469)</f>
        <v>0</v>
      </c>
      <c r="J470" s="53">
        <f>SUM(J468:J469)</f>
        <v>158.04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2001231.42+5805.31</f>
        <v>2007036.73</v>
      </c>
      <c r="G472" s="18">
        <v>55734.6</v>
      </c>
      <c r="H472" s="18">
        <f>248574.75-5805.31</f>
        <v>242769.44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2007036.73</v>
      </c>
      <c r="G474" s="53">
        <f>SUM(G472:G473)</f>
        <v>55734.6</v>
      </c>
      <c r="H474" s="53">
        <f>SUM(H472:H473)</f>
        <v>242769.44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302446.06999999983</v>
      </c>
      <c r="G476" s="53">
        <f>(G465+G470)- G474</f>
        <v>7649.8899999999994</v>
      </c>
      <c r="H476" s="53">
        <f>(H465+H470)- H474</f>
        <v>0</v>
      </c>
      <c r="I476" s="53">
        <f>(I465+I470)- I474</f>
        <v>0</v>
      </c>
      <c r="J476" s="53">
        <f>(J465+J470)- J474</f>
        <v>206366.38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>
        <v>20</v>
      </c>
      <c r="H490" s="154">
        <v>3</v>
      </c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914</v>
      </c>
      <c r="G491" s="155" t="s">
        <v>914</v>
      </c>
      <c r="H491" s="154">
        <f>7/2016</f>
        <v>3.472222222222222E-3</v>
      </c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915</v>
      </c>
      <c r="G492" s="155" t="s">
        <v>915</v>
      </c>
      <c r="H492" s="154">
        <f>7/21/2018</f>
        <v>1.6518004625041294E-4</v>
      </c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249438</v>
      </c>
      <c r="G493" s="18">
        <v>748312</v>
      </c>
      <c r="H493" s="18">
        <v>77600</v>
      </c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5.01</v>
      </c>
      <c r="G494" s="18">
        <v>4.9800000000000004</v>
      </c>
      <c r="H494" s="18">
        <v>3.7382</v>
      </c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20000</v>
      </c>
      <c r="G495" s="18">
        <v>70000</v>
      </c>
      <c r="H495" s="18">
        <v>77600</v>
      </c>
      <c r="I495" s="18"/>
      <c r="J495" s="18"/>
      <c r="K495" s="53">
        <f>SUM(F495:J495)</f>
        <v>167600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10000</v>
      </c>
      <c r="G497" s="18">
        <v>35000</v>
      </c>
      <c r="H497" s="18">
        <v>26821.56</v>
      </c>
      <c r="I497" s="18"/>
      <c r="J497" s="18"/>
      <c r="K497" s="53">
        <f t="shared" si="35"/>
        <v>71821.56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10000</v>
      </c>
      <c r="G498" s="204">
        <v>35000</v>
      </c>
      <c r="H498" s="204">
        <v>50778.44</v>
      </c>
      <c r="I498" s="204"/>
      <c r="J498" s="204"/>
      <c r="K498" s="205">
        <f t="shared" si="35"/>
        <v>95778.44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265</v>
      </c>
      <c r="G499" s="18">
        <v>910</v>
      </c>
      <c r="H499" s="18">
        <v>2864.68</v>
      </c>
      <c r="I499" s="18"/>
      <c r="J499" s="18"/>
      <c r="K499" s="53">
        <f t="shared" si="35"/>
        <v>4039.68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10265</v>
      </c>
      <c r="G500" s="42">
        <f>SUM(G498:G499)</f>
        <v>35910</v>
      </c>
      <c r="H500" s="42">
        <f>SUM(H498:H499)</f>
        <v>53643.12</v>
      </c>
      <c r="I500" s="42">
        <f>SUM(I498:I499)</f>
        <v>0</v>
      </c>
      <c r="J500" s="42">
        <f>SUM(J498:J499)</f>
        <v>0</v>
      </c>
      <c r="K500" s="42">
        <f t="shared" si="35"/>
        <v>99818.12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10000</v>
      </c>
      <c r="G501" s="204">
        <v>35000</v>
      </c>
      <c r="H501" s="204">
        <v>24923.38</v>
      </c>
      <c r="I501" s="204"/>
      <c r="J501" s="204"/>
      <c r="K501" s="205">
        <f t="shared" si="35"/>
        <v>69923.38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265</v>
      </c>
      <c r="G502" s="18">
        <v>910</v>
      </c>
      <c r="H502" s="18">
        <v>1898.18</v>
      </c>
      <c r="I502" s="18"/>
      <c r="J502" s="18"/>
      <c r="K502" s="53">
        <f t="shared" si="35"/>
        <v>3073.1800000000003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10265</v>
      </c>
      <c r="G503" s="42">
        <f>SUM(G501:G502)</f>
        <v>35910</v>
      </c>
      <c r="H503" s="42">
        <f>SUM(H501:H502)</f>
        <v>26821.56</v>
      </c>
      <c r="I503" s="42">
        <f>SUM(I501:I502)</f>
        <v>0</v>
      </c>
      <c r="J503" s="42">
        <f>SUM(J501:J502)</f>
        <v>0</v>
      </c>
      <c r="K503" s="42">
        <f t="shared" si="35"/>
        <v>72996.56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90333.06</v>
      </c>
      <c r="G521" s="18">
        <v>23577.34</v>
      </c>
      <c r="H521" s="18">
        <v>3159.95</v>
      </c>
      <c r="I521" s="18">
        <v>169.36</v>
      </c>
      <c r="J521" s="18"/>
      <c r="K521" s="18"/>
      <c r="L521" s="88">
        <f>SUM(F521:K521)</f>
        <v>117239.70999999999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60</v>
      </c>
      <c r="G523" s="18">
        <v>13.88</v>
      </c>
      <c r="H523" s="18">
        <v>10085.25</v>
      </c>
      <c r="I523" s="18"/>
      <c r="J523" s="18"/>
      <c r="K523" s="18"/>
      <c r="L523" s="88">
        <f>SUM(F523:K523)</f>
        <v>10159.129999999999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90393.06</v>
      </c>
      <c r="G524" s="108">
        <f t="shared" ref="G524:L524" si="36">SUM(G521:G523)</f>
        <v>23591.22</v>
      </c>
      <c r="H524" s="108">
        <f t="shared" si="36"/>
        <v>13245.2</v>
      </c>
      <c r="I524" s="108">
        <f t="shared" si="36"/>
        <v>169.36</v>
      </c>
      <c r="J524" s="108">
        <f t="shared" si="36"/>
        <v>0</v>
      </c>
      <c r="K524" s="108">
        <f t="shared" si="36"/>
        <v>0</v>
      </c>
      <c r="L524" s="89">
        <f t="shared" si="36"/>
        <v>127398.84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3460.01</v>
      </c>
      <c r="G526" s="18">
        <v>325.12</v>
      </c>
      <c r="H526" s="18">
        <v>59359.23</v>
      </c>
      <c r="I526" s="18">
        <f>496.11+302.19</f>
        <v>798.3</v>
      </c>
      <c r="J526" s="18">
        <v>218.36</v>
      </c>
      <c r="K526" s="18"/>
      <c r="L526" s="88">
        <f>SUM(F526:K526)</f>
        <v>64161.020000000004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>
        <v>1863.88</v>
      </c>
      <c r="I528" s="18"/>
      <c r="J528" s="18"/>
      <c r="K528" s="18"/>
      <c r="L528" s="88">
        <f>SUM(F528:K528)</f>
        <v>1863.88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3460.01</v>
      </c>
      <c r="G529" s="89">
        <f t="shared" ref="G529:L529" si="37">SUM(G526:G528)</f>
        <v>325.12</v>
      </c>
      <c r="H529" s="89">
        <f t="shared" si="37"/>
        <v>61223.11</v>
      </c>
      <c r="I529" s="89">
        <f t="shared" si="37"/>
        <v>798.3</v>
      </c>
      <c r="J529" s="89">
        <f t="shared" si="37"/>
        <v>218.36</v>
      </c>
      <c r="K529" s="89">
        <f t="shared" si="37"/>
        <v>0</v>
      </c>
      <c r="L529" s="89">
        <f t="shared" si="37"/>
        <v>66024.900000000009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>
        <v>6661</v>
      </c>
      <c r="I531" s="18"/>
      <c r="J531" s="18"/>
      <c r="K531" s="18"/>
      <c r="L531" s="88">
        <f>SUM(F531:K531)</f>
        <v>6661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>
        <v>2855</v>
      </c>
      <c r="I533" s="18"/>
      <c r="J533" s="18"/>
      <c r="K533" s="18"/>
      <c r="L533" s="88">
        <f>SUM(F533:K533)</f>
        <v>2855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9516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9516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93853.069999999992</v>
      </c>
      <c r="G545" s="89">
        <f t="shared" ref="G545:L545" si="41">G524+G529+G534+G539+G544</f>
        <v>23916.34</v>
      </c>
      <c r="H545" s="89">
        <f t="shared" si="41"/>
        <v>83984.31</v>
      </c>
      <c r="I545" s="89">
        <f t="shared" si="41"/>
        <v>967.66</v>
      </c>
      <c r="J545" s="89">
        <f t="shared" si="41"/>
        <v>218.36</v>
      </c>
      <c r="K545" s="89">
        <f t="shared" si="41"/>
        <v>0</v>
      </c>
      <c r="L545" s="89">
        <f t="shared" si="41"/>
        <v>202939.74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117239.70999999999</v>
      </c>
      <c r="G549" s="87">
        <f>L526</f>
        <v>64161.020000000004</v>
      </c>
      <c r="H549" s="87">
        <f>L531</f>
        <v>6661</v>
      </c>
      <c r="I549" s="87">
        <f>L536</f>
        <v>0</v>
      </c>
      <c r="J549" s="87">
        <f>L541</f>
        <v>0</v>
      </c>
      <c r="K549" s="87">
        <f>SUM(F549:J549)</f>
        <v>188061.72999999998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10159.129999999999</v>
      </c>
      <c r="G551" s="87">
        <f>L528</f>
        <v>1863.88</v>
      </c>
      <c r="H551" s="87">
        <f>L533</f>
        <v>2855</v>
      </c>
      <c r="I551" s="87">
        <f>L538</f>
        <v>0</v>
      </c>
      <c r="J551" s="87">
        <f>L543</f>
        <v>0</v>
      </c>
      <c r="K551" s="87">
        <f>SUM(F551:J551)</f>
        <v>14878.009999999998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127398.84</v>
      </c>
      <c r="G552" s="89">
        <f t="shared" si="42"/>
        <v>66024.900000000009</v>
      </c>
      <c r="H552" s="89">
        <f t="shared" si="42"/>
        <v>9516</v>
      </c>
      <c r="I552" s="89">
        <f t="shared" si="42"/>
        <v>0</v>
      </c>
      <c r="J552" s="89">
        <f t="shared" si="42"/>
        <v>0</v>
      </c>
      <c r="K552" s="89">
        <f t="shared" si="42"/>
        <v>202939.74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142112.13</v>
      </c>
      <c r="I575" s="87">
        <f>SUM(F575:H575)</f>
        <v>142112.13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>
        <v>391068.88</v>
      </c>
      <c r="I576" s="87">
        <f t="shared" ref="I576:I587" si="47">SUM(F576:H576)</f>
        <v>391068.88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f>161125.47+4.14</f>
        <v>161129.61000000002</v>
      </c>
      <c r="I591" s="18"/>
      <c r="J591" s="18">
        <v>18648.740000000002</v>
      </c>
      <c r="K591" s="104">
        <f t="shared" ref="K591:K597" si="48">SUM(H591:J591)</f>
        <v>179778.35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0</v>
      </c>
      <c r="I592" s="18"/>
      <c r="J592" s="18"/>
      <c r="K592" s="104">
        <f t="shared" si="48"/>
        <v>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1247.26</v>
      </c>
      <c r="I595" s="18"/>
      <c r="J595" s="18"/>
      <c r="K595" s="104">
        <f t="shared" si="48"/>
        <v>1247.26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162376.87000000002</v>
      </c>
      <c r="I598" s="108">
        <f>SUM(I591:I597)</f>
        <v>0</v>
      </c>
      <c r="J598" s="108">
        <f>SUM(J591:J597)</f>
        <v>18648.740000000002</v>
      </c>
      <c r="K598" s="108">
        <f>SUM(K591:K597)</f>
        <v>181025.61000000002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2304.8+1268.64+77600+7160.73+1138.5+4047.1</f>
        <v>93519.77</v>
      </c>
      <c r="I604" s="18"/>
      <c r="J604" s="18"/>
      <c r="K604" s="104">
        <f>SUM(H604:J604)</f>
        <v>93519.77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93519.77</v>
      </c>
      <c r="I605" s="108">
        <f>SUM(I602:I604)</f>
        <v>0</v>
      </c>
      <c r="J605" s="108">
        <f>SUM(J602:J604)</f>
        <v>0</v>
      </c>
      <c r="K605" s="108">
        <f>SUM(K602:K604)</f>
        <v>93519.77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314998.04000000004</v>
      </c>
      <c r="H617" s="109">
        <f>SUM(F52)</f>
        <v>314998.0399999998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10974.379999999997</v>
      </c>
      <c r="H618" s="109">
        <f>SUM(G52)</f>
        <v>10974.380000000001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83911.69</v>
      </c>
      <c r="H619" s="109">
        <f>SUM(H52)</f>
        <v>83911.690000000017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206366.38</v>
      </c>
      <c r="H621" s="109">
        <f>SUM(J52)</f>
        <v>206366.38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302446.06999999983</v>
      </c>
      <c r="H622" s="109">
        <f>F476</f>
        <v>302446.06999999983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7649.89</v>
      </c>
      <c r="H623" s="109">
        <f>G476</f>
        <v>7649.8899999999994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206366.38</v>
      </c>
      <c r="H626" s="109">
        <f>J476</f>
        <v>206366.38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2137817.25</v>
      </c>
      <c r="H627" s="104">
        <f>SUM(F468)</f>
        <v>2137817.25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57966.69</v>
      </c>
      <c r="H628" s="104">
        <f>SUM(G468)</f>
        <v>57966.69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242769.44</v>
      </c>
      <c r="H629" s="104">
        <f>SUM(H468)</f>
        <v>242769.44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158.04</v>
      </c>
      <c r="H631" s="104">
        <f>SUM(J468)</f>
        <v>158.04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2007036.73</v>
      </c>
      <c r="H632" s="104">
        <f>SUM(F472)</f>
        <v>2007036.73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242769.43999999997</v>
      </c>
      <c r="H633" s="104">
        <f>SUM(H472)</f>
        <v>242769.44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55734.600000000006</v>
      </c>
      <c r="H635" s="104">
        <f>SUM(G472)</f>
        <v>55734.6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158.04000000000002</v>
      </c>
      <c r="H637" s="164">
        <f>SUM(J468)</f>
        <v>158.04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22219.91</v>
      </c>
      <c r="H639" s="104">
        <f>SUM(F461)</f>
        <v>22219.91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184146.47</v>
      </c>
      <c r="H640" s="104">
        <f>SUM(G461)</f>
        <v>184146.47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206366.38</v>
      </c>
      <c r="H642" s="104">
        <f>SUM(I461)</f>
        <v>206366.38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158.04</v>
      </c>
      <c r="H644" s="104">
        <f>H408</f>
        <v>158.04000000000002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158.04</v>
      </c>
      <c r="H646" s="104">
        <f>L408</f>
        <v>158.04000000000002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181025.61000000002</v>
      </c>
      <c r="H647" s="104">
        <f>L208+L226+L244</f>
        <v>181025.61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93519.77</v>
      </c>
      <c r="H648" s="104">
        <f>(J257+J338)-(J255+J336)</f>
        <v>93519.76999999999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162376.87</v>
      </c>
      <c r="H649" s="104">
        <f>H598</f>
        <v>162376.87000000002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18648.740000000002</v>
      </c>
      <c r="H651" s="104">
        <f>J598</f>
        <v>18648.740000000002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20000</v>
      </c>
      <c r="H652" s="104">
        <f>K263+K345</f>
        <v>20000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1652640.88</v>
      </c>
      <c r="G660" s="19">
        <f>(L229+L309+L359)</f>
        <v>0</v>
      </c>
      <c r="H660" s="19">
        <f>(L247+L328+L360)</f>
        <v>584374.89</v>
      </c>
      <c r="I660" s="19">
        <f>SUM(F660:H660)</f>
        <v>2237015.77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12305.7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12305.7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85489.579999999987</v>
      </c>
      <c r="G662" s="19">
        <f>(L226+L306)-(J226+J306)</f>
        <v>0</v>
      </c>
      <c r="H662" s="19">
        <f>(L244+L325)-(J244+J325)</f>
        <v>18648.740000000002</v>
      </c>
      <c r="I662" s="19">
        <f>SUM(F662:H662)</f>
        <v>104138.31999999999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93519.77</v>
      </c>
      <c r="G663" s="199">
        <f>SUM(G575:G587)+SUM(I602:I604)+L612</f>
        <v>0</v>
      </c>
      <c r="H663" s="199">
        <f>SUM(H575:H587)+SUM(J602:J604)+L613</f>
        <v>533181.01</v>
      </c>
      <c r="I663" s="19">
        <f>SUM(F663:H663)</f>
        <v>626700.78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1461325.8299999998</v>
      </c>
      <c r="G664" s="19">
        <f>G660-SUM(G661:G663)</f>
        <v>0</v>
      </c>
      <c r="H664" s="19">
        <f>H660-SUM(H661:H663)</f>
        <v>32545.140000000014</v>
      </c>
      <c r="I664" s="19">
        <f>I660-SUM(I661:I663)</f>
        <v>1493870.97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68.930000000000007</v>
      </c>
      <c r="G665" s="248"/>
      <c r="H665" s="248"/>
      <c r="I665" s="19">
        <f>SUM(F665:H665)</f>
        <v>68.930000000000007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21200.14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21672.29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-32545.14</v>
      </c>
      <c r="I669" s="19">
        <f>SUM(F669:H669)</f>
        <v>-32545.14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21200.14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21200.14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7" zoomScale="130" zoomScaleNormal="130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STEWARTSTOWN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347636.26</v>
      </c>
      <c r="C9" s="229">
        <f>'DOE25'!G197+'DOE25'!G215+'DOE25'!G233+'DOE25'!G276+'DOE25'!G295+'DOE25'!G314</f>
        <v>192268.13</v>
      </c>
    </row>
    <row r="10" spans="1:3" x14ac:dyDescent="0.2">
      <c r="A10" t="s">
        <v>778</v>
      </c>
      <c r="B10" s="240">
        <f>225208.18+24891.52</f>
        <v>250099.69999999998</v>
      </c>
      <c r="C10" s="240">
        <f>113710.11+9141.16+61952.94</f>
        <v>184804.21000000002</v>
      </c>
    </row>
    <row r="11" spans="1:3" x14ac:dyDescent="0.2">
      <c r="A11" t="s">
        <v>779</v>
      </c>
      <c r="B11" s="240">
        <f>56640.53+8583.78</f>
        <v>65224.31</v>
      </c>
      <c r="C11" s="240">
        <v>4991</v>
      </c>
    </row>
    <row r="12" spans="1:3" x14ac:dyDescent="0.2">
      <c r="A12" t="s">
        <v>780</v>
      </c>
      <c r="B12" s="240">
        <f>21887.25+1820+8605</f>
        <v>32312.25</v>
      </c>
      <c r="C12" s="240">
        <v>2472.92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347636.26</v>
      </c>
      <c r="C13" s="231">
        <f>SUM(C10:C12)</f>
        <v>192268.13000000003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90393.06</v>
      </c>
      <c r="C18" s="229">
        <f>'DOE25'!G198+'DOE25'!G216+'DOE25'!G234+'DOE25'!G277+'DOE25'!G296+'DOE25'!G315</f>
        <v>23591.22</v>
      </c>
    </row>
    <row r="19" spans="1:3" x14ac:dyDescent="0.2">
      <c r="A19" t="s">
        <v>778</v>
      </c>
      <c r="B19" s="240">
        <v>49550</v>
      </c>
      <c r="C19" s="240">
        <f>7835.22+12630.33</f>
        <v>20465.55</v>
      </c>
    </row>
    <row r="20" spans="1:3" x14ac:dyDescent="0.2">
      <c r="A20" t="s">
        <v>779</v>
      </c>
      <c r="B20" s="240">
        <v>39442.5</v>
      </c>
      <c r="C20" s="240">
        <v>3018.53</v>
      </c>
    </row>
    <row r="21" spans="1:3" x14ac:dyDescent="0.2">
      <c r="A21" t="s">
        <v>780</v>
      </c>
      <c r="B21" s="240">
        <f>60+1340.56</f>
        <v>1400.56</v>
      </c>
      <c r="C21" s="240">
        <v>107.14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90393.06</v>
      </c>
      <c r="C22" s="231">
        <f>SUM(C19:C21)</f>
        <v>23591.219999999998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12547.2</v>
      </c>
      <c r="C36" s="235">
        <f>'DOE25'!G200+'DOE25'!G218+'DOE25'!G236+'DOE25'!G279+'DOE25'!G298+'DOE25'!G317</f>
        <v>2182.13</v>
      </c>
    </row>
    <row r="37" spans="1:3" x14ac:dyDescent="0.2">
      <c r="A37" t="s">
        <v>778</v>
      </c>
      <c r="B37" s="240">
        <v>10950</v>
      </c>
      <c r="C37" s="240">
        <f>2182.13-122.2</f>
        <v>2059.9300000000003</v>
      </c>
    </row>
    <row r="38" spans="1:3" x14ac:dyDescent="0.2">
      <c r="A38" t="s">
        <v>779</v>
      </c>
      <c r="B38" s="240">
        <v>1597.2</v>
      </c>
      <c r="C38" s="240">
        <v>122.2</v>
      </c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12547.2</v>
      </c>
      <c r="C40" s="231">
        <f>SUM(C37:C39)</f>
        <v>2182.13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4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STEWARTSTOWN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1137564.99</v>
      </c>
      <c r="D5" s="20">
        <f>SUM('DOE25'!L197:L200)+SUM('DOE25'!L215:L218)+SUM('DOE25'!L233:L236)-F5-G5</f>
        <v>1127054.67</v>
      </c>
      <c r="E5" s="243"/>
      <c r="F5" s="255">
        <f>SUM('DOE25'!J197:J200)+SUM('DOE25'!J215:J218)+SUM('DOE25'!J233:J236)</f>
        <v>10509.12</v>
      </c>
      <c r="G5" s="53">
        <f>SUM('DOE25'!K197:K200)+SUM('DOE25'!K215:K218)+SUM('DOE25'!K233:K236)</f>
        <v>1.2</v>
      </c>
      <c r="H5" s="259"/>
    </row>
    <row r="6" spans="1:9" x14ac:dyDescent="0.2">
      <c r="A6" s="32">
        <v>2100</v>
      </c>
      <c r="B6" t="s">
        <v>800</v>
      </c>
      <c r="C6" s="245">
        <f t="shared" si="0"/>
        <v>216180.98</v>
      </c>
      <c r="D6" s="20">
        <f>'DOE25'!L202+'DOE25'!L220+'DOE25'!L238-F6-G6</f>
        <v>213465.37</v>
      </c>
      <c r="E6" s="243"/>
      <c r="F6" s="255">
        <f>'DOE25'!J202+'DOE25'!J220+'DOE25'!J238</f>
        <v>1643.89</v>
      </c>
      <c r="G6" s="53">
        <f>'DOE25'!K202+'DOE25'!K220+'DOE25'!K238</f>
        <v>1071.72</v>
      </c>
      <c r="H6" s="259"/>
    </row>
    <row r="7" spans="1:9" x14ac:dyDescent="0.2">
      <c r="A7" s="32">
        <v>2200</v>
      </c>
      <c r="B7" t="s">
        <v>833</v>
      </c>
      <c r="C7" s="245">
        <f t="shared" si="0"/>
        <v>34380.239999999998</v>
      </c>
      <c r="D7" s="20">
        <f>'DOE25'!L203+'DOE25'!L221+'DOE25'!L239-F7-G7</f>
        <v>31315.329999999998</v>
      </c>
      <c r="E7" s="243"/>
      <c r="F7" s="255">
        <f>'DOE25'!J203+'DOE25'!J221+'DOE25'!J239</f>
        <v>398.61</v>
      </c>
      <c r="G7" s="53">
        <f>'DOE25'!K203+'DOE25'!K221+'DOE25'!K239</f>
        <v>2666.3</v>
      </c>
      <c r="H7" s="259"/>
    </row>
    <row r="8" spans="1:9" x14ac:dyDescent="0.2">
      <c r="A8" s="32">
        <v>2300</v>
      </c>
      <c r="B8" t="s">
        <v>801</v>
      </c>
      <c r="C8" s="245">
        <f t="shared" si="0"/>
        <v>63022.33</v>
      </c>
      <c r="D8" s="243"/>
      <c r="E8" s="20">
        <f>'DOE25'!L204+'DOE25'!L222+'DOE25'!L240-F8-G8-D9-D11</f>
        <v>60146.98</v>
      </c>
      <c r="F8" s="255">
        <f>'DOE25'!J204+'DOE25'!J222+'DOE25'!J240</f>
        <v>0</v>
      </c>
      <c r="G8" s="53">
        <f>'DOE25'!K204+'DOE25'!K222+'DOE25'!K240</f>
        <v>2875.35</v>
      </c>
      <c r="H8" s="259"/>
    </row>
    <row r="9" spans="1:9" x14ac:dyDescent="0.2">
      <c r="A9" s="32">
        <v>2310</v>
      </c>
      <c r="B9" t="s">
        <v>817</v>
      </c>
      <c r="C9" s="245">
        <f t="shared" si="0"/>
        <v>21503.11</v>
      </c>
      <c r="D9" s="244">
        <v>21503.11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8869</v>
      </c>
      <c r="D10" s="243"/>
      <c r="E10" s="244">
        <v>8869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36406.379999999997</v>
      </c>
      <c r="D11" s="244">
        <v>36406.379999999997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133213.71</v>
      </c>
      <c r="D12" s="20">
        <f>'DOE25'!L205+'DOE25'!L223+'DOE25'!L241-F12-G12</f>
        <v>132150.71</v>
      </c>
      <c r="E12" s="243"/>
      <c r="F12" s="255">
        <f>'DOE25'!J205+'DOE25'!J223+'DOE25'!J241</f>
        <v>0</v>
      </c>
      <c r="G12" s="53">
        <f>'DOE25'!K205+'DOE25'!K223+'DOE25'!K241</f>
        <v>1063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115214.38</v>
      </c>
      <c r="D14" s="20">
        <f>'DOE25'!L207+'DOE25'!L225+'DOE25'!L243-F14-G14</f>
        <v>110953.13</v>
      </c>
      <c r="E14" s="243"/>
      <c r="F14" s="255">
        <f>'DOE25'!J207+'DOE25'!J225+'DOE25'!J243</f>
        <v>2980.25</v>
      </c>
      <c r="G14" s="53">
        <f>'DOE25'!K207+'DOE25'!K225+'DOE25'!K243</f>
        <v>1281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181025.60999999996</v>
      </c>
      <c r="D15" s="20">
        <f>'DOE25'!L208+'DOE25'!L226+'DOE25'!L244-F15-G15</f>
        <v>102917.27999999998</v>
      </c>
      <c r="E15" s="243"/>
      <c r="F15" s="255">
        <f>'DOE25'!J208+'DOE25'!J226+'DOE25'!J244</f>
        <v>77600</v>
      </c>
      <c r="G15" s="53">
        <f>'DOE25'!K208+'DOE25'!K226+'DOE25'!K244</f>
        <v>508.33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48525</v>
      </c>
      <c r="D25" s="243"/>
      <c r="E25" s="243"/>
      <c r="F25" s="258"/>
      <c r="G25" s="256"/>
      <c r="H25" s="257">
        <f>'DOE25'!L260+'DOE25'!L261+'DOE25'!L341+'DOE25'!L342</f>
        <v>48525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55734.600000000006</v>
      </c>
      <c r="D29" s="20">
        <f>'DOE25'!L358+'DOE25'!L359+'DOE25'!L360-'DOE25'!I367-F29-G29</f>
        <v>55734.600000000006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242769.43999999997</v>
      </c>
      <c r="D31" s="20">
        <f>'DOE25'!L290+'DOE25'!L309+'DOE25'!L328+'DOE25'!L333+'DOE25'!L334+'DOE25'!L335-F31-G31</f>
        <v>235195.16999999998</v>
      </c>
      <c r="E31" s="243"/>
      <c r="F31" s="255">
        <f>'DOE25'!J290+'DOE25'!J309+'DOE25'!J328+'DOE25'!J333+'DOE25'!J334+'DOE25'!J335</f>
        <v>387.9</v>
      </c>
      <c r="G31" s="53">
        <f>'DOE25'!K290+'DOE25'!K309+'DOE25'!K328+'DOE25'!K333+'DOE25'!K334+'DOE25'!K335</f>
        <v>7186.369999999999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2066695.7500000002</v>
      </c>
      <c r="E33" s="246">
        <f>SUM(E5:E31)</f>
        <v>69015.98000000001</v>
      </c>
      <c r="F33" s="246">
        <f>SUM(F5:F31)</f>
        <v>93519.76999999999</v>
      </c>
      <c r="G33" s="246">
        <f>SUM(G5:G31)</f>
        <v>16653.269999999997</v>
      </c>
      <c r="H33" s="246">
        <f>SUM(H5:H31)</f>
        <v>48525</v>
      </c>
    </row>
    <row r="35" spans="2:8" ht="12" thickBot="1" x14ac:dyDescent="0.25">
      <c r="B35" s="253" t="s">
        <v>846</v>
      </c>
      <c r="D35" s="254">
        <f>E33</f>
        <v>69015.98000000001</v>
      </c>
      <c r="E35" s="249"/>
    </row>
    <row r="36" spans="2:8" ht="12" thickTop="1" x14ac:dyDescent="0.2">
      <c r="B36" t="s">
        <v>814</v>
      </c>
      <c r="D36" s="20">
        <f>D33</f>
        <v>2066695.7500000002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STEWARTSTOWN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216033.98</v>
      </c>
      <c r="D8" s="95">
        <f>'DOE25'!G9</f>
        <v>7392.88</v>
      </c>
      <c r="E8" s="95">
        <f>'DOE25'!H9</f>
        <v>0</v>
      </c>
      <c r="F8" s="95">
        <f>'DOE25'!I9</f>
        <v>0</v>
      </c>
      <c r="G8" s="95">
        <f>'DOE25'!J9</f>
        <v>206366.38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35637.050000000003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63251.78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75.23</v>
      </c>
      <c r="D12" s="95">
        <f>'DOE25'!G13</f>
        <v>1479.58</v>
      </c>
      <c r="E12" s="95">
        <f>'DOE25'!H13</f>
        <v>83911.69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67.05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2034.87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314998.04000000004</v>
      </c>
      <c r="D18" s="41">
        <f>SUM(D8:D17)</f>
        <v>10974.379999999997</v>
      </c>
      <c r="E18" s="41">
        <f>SUM(E8:E17)</f>
        <v>83911.69</v>
      </c>
      <c r="F18" s="41">
        <f>SUM(F8:F17)</f>
        <v>0</v>
      </c>
      <c r="G18" s="41">
        <f>SUM(G8:G17)</f>
        <v>206366.38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63251.780000000013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6741.15</v>
      </c>
      <c r="D23" s="95">
        <f>'DOE25'!G24</f>
        <v>3324.49</v>
      </c>
      <c r="E23" s="95">
        <f>'DOE25'!H24</f>
        <v>1.68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2368.7000000000003</v>
      </c>
      <c r="D27" s="95">
        <f>'DOE25'!G28</f>
        <v>0</v>
      </c>
      <c r="E27" s="95">
        <f>'DOE25'!H28</f>
        <v>16263.77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3442.12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4394.46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12551.970000000001</v>
      </c>
      <c r="D31" s="41">
        <f>SUM(D21:D30)</f>
        <v>3324.49</v>
      </c>
      <c r="E31" s="41">
        <f>SUM(E21:E30)</f>
        <v>83911.690000000017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2034.87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5615.02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37000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206366.38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265446.06999999983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302446.06999999983</v>
      </c>
      <c r="D50" s="41">
        <f>SUM(D34:D49)</f>
        <v>7649.89</v>
      </c>
      <c r="E50" s="41">
        <f>SUM(E34:E49)</f>
        <v>0</v>
      </c>
      <c r="F50" s="41">
        <f>SUM(F34:F49)</f>
        <v>0</v>
      </c>
      <c r="G50" s="41">
        <f>SUM(G34:G49)</f>
        <v>206366.38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314998.0399999998</v>
      </c>
      <c r="D51" s="41">
        <f>D50+D31</f>
        <v>10974.380000000001</v>
      </c>
      <c r="E51" s="41">
        <f>E50+E31</f>
        <v>83911.690000000017</v>
      </c>
      <c r="F51" s="41">
        <f>F50+F31</f>
        <v>0</v>
      </c>
      <c r="G51" s="41">
        <f>G50+G31</f>
        <v>206366.38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1313396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429.78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158.04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12305.7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10723.5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11153.28</v>
      </c>
      <c r="D62" s="130">
        <f>SUM(D57:D61)</f>
        <v>12305.7</v>
      </c>
      <c r="E62" s="130">
        <f>SUM(E57:E61)</f>
        <v>0</v>
      </c>
      <c r="F62" s="130">
        <f>SUM(F57:F61)</f>
        <v>0</v>
      </c>
      <c r="G62" s="130">
        <f>SUM(G57:G61)</f>
        <v>158.04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1324549.28</v>
      </c>
      <c r="D63" s="22">
        <f>D56+D62</f>
        <v>12305.7</v>
      </c>
      <c r="E63" s="22">
        <f>E56+E62</f>
        <v>0</v>
      </c>
      <c r="F63" s="22">
        <f>F56+F62</f>
        <v>0</v>
      </c>
      <c r="G63" s="22">
        <f>G56+G62</f>
        <v>158.04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546117.77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166607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712724.77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14086.24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675.28</v>
      </c>
      <c r="E77" s="95">
        <f>SUM('DOE25'!H131:H135)</f>
        <v>4542.3999999999996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14086.24</v>
      </c>
      <c r="D78" s="130">
        <f>SUM(D72:D77)</f>
        <v>675.28</v>
      </c>
      <c r="E78" s="130">
        <f>SUM(E72:E77)</f>
        <v>4542.3999999999996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726811.01</v>
      </c>
      <c r="D81" s="130">
        <f>SUM(D79:D80)+D78+D70</f>
        <v>675.28</v>
      </c>
      <c r="E81" s="130">
        <f>SUM(E79:E80)+E78+E70</f>
        <v>4542.3999999999996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3051.65</v>
      </c>
      <c r="D88" s="95">
        <f>SUM('DOE25'!G153:G161)</f>
        <v>24985.71</v>
      </c>
      <c r="E88" s="95">
        <f>SUM('DOE25'!H153:H161)</f>
        <v>238227.04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5805.31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8856.9600000000009</v>
      </c>
      <c r="D91" s="131">
        <f>SUM(D85:D90)</f>
        <v>24985.71</v>
      </c>
      <c r="E91" s="131">
        <f>SUM(E85:E90)</f>
        <v>238227.04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20000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77600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77600</v>
      </c>
      <c r="D103" s="86">
        <f>SUM(D93:D102)</f>
        <v>20000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2137817.25</v>
      </c>
      <c r="D104" s="86">
        <f>D63+D81+D91+D103</f>
        <v>57966.69</v>
      </c>
      <c r="E104" s="86">
        <f>E63+E81+E91+E103</f>
        <v>242769.44</v>
      </c>
      <c r="F104" s="86">
        <f>F63+F81+F91+F103</f>
        <v>0</v>
      </c>
      <c r="G104" s="86">
        <f>G63+G81+G103</f>
        <v>158.04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1010166.15</v>
      </c>
      <c r="D109" s="24" t="s">
        <v>288</v>
      </c>
      <c r="E109" s="95">
        <f>('DOE25'!L276)+('DOE25'!L295)+('DOE25'!L314)</f>
        <v>106999.32999999999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127398.84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288</v>
      </c>
      <c r="E112" s="95">
        <f>+('DOE25'!L279)+('DOE25'!L298)+('DOE25'!L317)</f>
        <v>14729.330000000002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1137564.99</v>
      </c>
      <c r="D115" s="86">
        <f>SUM(D109:D114)</f>
        <v>0</v>
      </c>
      <c r="E115" s="86">
        <f>SUM(E109:E114)</f>
        <v>121728.65999999999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216180.98</v>
      </c>
      <c r="D118" s="24" t="s">
        <v>288</v>
      </c>
      <c r="E118" s="95">
        <f>+('DOE25'!L281)+('DOE25'!L300)+('DOE25'!L319)</f>
        <v>7062.84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34380.239999999998</v>
      </c>
      <c r="D119" s="24" t="s">
        <v>288</v>
      </c>
      <c r="E119" s="95">
        <f>+('DOE25'!L282)+('DOE25'!L301)+('DOE25'!L320)</f>
        <v>101030.31999999999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120931.82</v>
      </c>
      <c r="D120" s="24" t="s">
        <v>288</v>
      </c>
      <c r="E120" s="95">
        <f>+('DOE25'!L283)+('DOE25'!L302)+('DOE25'!L321)</f>
        <v>7350.9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133213.71</v>
      </c>
      <c r="D121" s="24" t="s">
        <v>288</v>
      </c>
      <c r="E121" s="95">
        <f>+('DOE25'!L284)+('DOE25'!L303)+('DOE25'!L322)</f>
        <v>2240.04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2643.97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115214.38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181025.61</v>
      </c>
      <c r="D124" s="24" t="s">
        <v>288</v>
      </c>
      <c r="E124" s="95">
        <f>+('DOE25'!L287)+('DOE25'!L306)+('DOE25'!L325)</f>
        <v>712.70999999999992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55734.600000000006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800946.74</v>
      </c>
      <c r="D128" s="86">
        <f>SUM(D118:D127)</f>
        <v>55734.600000000006</v>
      </c>
      <c r="E128" s="86">
        <f>SUM(E118:E127)</f>
        <v>121040.77999999998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45000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3525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20000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22.52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135.52000000000001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-158.04000000000002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68525.000000000015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2007036.73</v>
      </c>
      <c r="D145" s="86">
        <f>(D115+D128+D144)</f>
        <v>55734.600000000006</v>
      </c>
      <c r="E145" s="86">
        <f>(E115+E128+E144)</f>
        <v>242769.43999999997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3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08/1997</v>
      </c>
      <c r="C152" s="152" t="str">
        <f>'DOE25'!G491</f>
        <v>08/1997</v>
      </c>
      <c r="D152" s="152">
        <f>'DOE25'!H491</f>
        <v>3.472222222222222E-3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08/2017</v>
      </c>
      <c r="C153" s="152" t="str">
        <f>'DOE25'!G492</f>
        <v>08/2017</v>
      </c>
      <c r="D153" s="152">
        <f>'DOE25'!H492</f>
        <v>1.6518004625041294E-4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249438</v>
      </c>
      <c r="C154" s="137">
        <f>'DOE25'!G493</f>
        <v>748312</v>
      </c>
      <c r="D154" s="137">
        <f>'DOE25'!H493</f>
        <v>77600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5.01</v>
      </c>
      <c r="C155" s="137">
        <f>'DOE25'!G494</f>
        <v>4.9800000000000004</v>
      </c>
      <c r="D155" s="137">
        <f>'DOE25'!H494</f>
        <v>3.7382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20000</v>
      </c>
      <c r="C156" s="137">
        <f>'DOE25'!G495</f>
        <v>70000</v>
      </c>
      <c r="D156" s="137">
        <f>'DOE25'!H495</f>
        <v>77600</v>
      </c>
      <c r="E156" s="137">
        <f>'DOE25'!I495</f>
        <v>0</v>
      </c>
      <c r="F156" s="137">
        <f>'DOE25'!J495</f>
        <v>0</v>
      </c>
      <c r="G156" s="138">
        <f>SUM(B156:F156)</f>
        <v>167600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10000</v>
      </c>
      <c r="C158" s="137">
        <f>'DOE25'!G497</f>
        <v>35000</v>
      </c>
      <c r="D158" s="137">
        <f>'DOE25'!H497</f>
        <v>26821.56</v>
      </c>
      <c r="E158" s="137">
        <f>'DOE25'!I497</f>
        <v>0</v>
      </c>
      <c r="F158" s="137">
        <f>'DOE25'!J497</f>
        <v>0</v>
      </c>
      <c r="G158" s="138">
        <f t="shared" si="0"/>
        <v>71821.56</v>
      </c>
    </row>
    <row r="159" spans="1:9" x14ac:dyDescent="0.2">
      <c r="A159" s="22" t="s">
        <v>35</v>
      </c>
      <c r="B159" s="137">
        <f>'DOE25'!F498</f>
        <v>10000</v>
      </c>
      <c r="C159" s="137">
        <f>'DOE25'!G498</f>
        <v>35000</v>
      </c>
      <c r="D159" s="137">
        <f>'DOE25'!H498</f>
        <v>50778.44</v>
      </c>
      <c r="E159" s="137">
        <f>'DOE25'!I498</f>
        <v>0</v>
      </c>
      <c r="F159" s="137">
        <f>'DOE25'!J498</f>
        <v>0</v>
      </c>
      <c r="G159" s="138">
        <f t="shared" si="0"/>
        <v>95778.44</v>
      </c>
    </row>
    <row r="160" spans="1:9" x14ac:dyDescent="0.2">
      <c r="A160" s="22" t="s">
        <v>36</v>
      </c>
      <c r="B160" s="137">
        <f>'DOE25'!F499</f>
        <v>265</v>
      </c>
      <c r="C160" s="137">
        <f>'DOE25'!G499</f>
        <v>910</v>
      </c>
      <c r="D160" s="137">
        <f>'DOE25'!H499</f>
        <v>2864.68</v>
      </c>
      <c r="E160" s="137">
        <f>'DOE25'!I499</f>
        <v>0</v>
      </c>
      <c r="F160" s="137">
        <f>'DOE25'!J499</f>
        <v>0</v>
      </c>
      <c r="G160" s="138">
        <f t="shared" si="0"/>
        <v>4039.68</v>
      </c>
    </row>
    <row r="161" spans="1:7" x14ac:dyDescent="0.2">
      <c r="A161" s="22" t="s">
        <v>37</v>
      </c>
      <c r="B161" s="137">
        <f>'DOE25'!F500</f>
        <v>10265</v>
      </c>
      <c r="C161" s="137">
        <f>'DOE25'!G500</f>
        <v>35910</v>
      </c>
      <c r="D161" s="137">
        <f>'DOE25'!H500</f>
        <v>53643.12</v>
      </c>
      <c r="E161" s="137">
        <f>'DOE25'!I500</f>
        <v>0</v>
      </c>
      <c r="F161" s="137">
        <f>'DOE25'!J500</f>
        <v>0</v>
      </c>
      <c r="G161" s="138">
        <f t="shared" si="0"/>
        <v>99818.12</v>
      </c>
    </row>
    <row r="162" spans="1:7" x14ac:dyDescent="0.2">
      <c r="A162" s="22" t="s">
        <v>38</v>
      </c>
      <c r="B162" s="137">
        <f>'DOE25'!F501</f>
        <v>10000</v>
      </c>
      <c r="C162" s="137">
        <f>'DOE25'!G501</f>
        <v>35000</v>
      </c>
      <c r="D162" s="137">
        <f>'DOE25'!H501</f>
        <v>24923.38</v>
      </c>
      <c r="E162" s="137">
        <f>'DOE25'!I501</f>
        <v>0</v>
      </c>
      <c r="F162" s="137">
        <f>'DOE25'!J501</f>
        <v>0</v>
      </c>
      <c r="G162" s="138">
        <f t="shared" si="0"/>
        <v>69923.38</v>
      </c>
    </row>
    <row r="163" spans="1:7" x14ac:dyDescent="0.2">
      <c r="A163" s="22" t="s">
        <v>39</v>
      </c>
      <c r="B163" s="137">
        <f>'DOE25'!F502</f>
        <v>265</v>
      </c>
      <c r="C163" s="137">
        <f>'DOE25'!G502</f>
        <v>910</v>
      </c>
      <c r="D163" s="137">
        <f>'DOE25'!H502</f>
        <v>1898.18</v>
      </c>
      <c r="E163" s="137">
        <f>'DOE25'!I502</f>
        <v>0</v>
      </c>
      <c r="F163" s="137">
        <f>'DOE25'!J502</f>
        <v>0</v>
      </c>
      <c r="G163" s="138">
        <f t="shared" si="0"/>
        <v>3073.1800000000003</v>
      </c>
    </row>
    <row r="164" spans="1:7" x14ac:dyDescent="0.2">
      <c r="A164" s="22" t="s">
        <v>246</v>
      </c>
      <c r="B164" s="137">
        <f>'DOE25'!F503</f>
        <v>10265</v>
      </c>
      <c r="C164" s="137">
        <f>'DOE25'!G503</f>
        <v>35910</v>
      </c>
      <c r="D164" s="137">
        <f>'DOE25'!H503</f>
        <v>26821.56</v>
      </c>
      <c r="E164" s="137">
        <f>'DOE25'!I503</f>
        <v>0</v>
      </c>
      <c r="F164" s="137">
        <f>'DOE25'!J503</f>
        <v>0</v>
      </c>
      <c r="G164" s="138">
        <f t="shared" si="0"/>
        <v>72996.56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7" sqref="C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STEWARTSTOWN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21200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21200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1117165</v>
      </c>
      <c r="D10" s="182">
        <f>ROUND((C10/$C$28)*100,1)</f>
        <v>50.1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127399</v>
      </c>
      <c r="D11" s="182">
        <f>ROUND((C11/$C$28)*100,1)</f>
        <v>5.7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14729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223244</v>
      </c>
      <c r="D15" s="182">
        <f t="shared" ref="D15:D27" si="0">ROUND((C15/$C$28)*100,1)</f>
        <v>10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135411</v>
      </c>
      <c r="D16" s="182">
        <f t="shared" si="0"/>
        <v>6.1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128283</v>
      </c>
      <c r="D17" s="182">
        <f t="shared" si="0"/>
        <v>5.8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135454</v>
      </c>
      <c r="D18" s="182">
        <f t="shared" si="0"/>
        <v>6.1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2644</v>
      </c>
      <c r="D19" s="182">
        <f t="shared" si="0"/>
        <v>0.1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115214</v>
      </c>
      <c r="D20" s="182">
        <f t="shared" si="0"/>
        <v>5.2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181738</v>
      </c>
      <c r="D21" s="182">
        <f t="shared" si="0"/>
        <v>8.1999999999999993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3525</v>
      </c>
      <c r="D25" s="182">
        <f t="shared" si="0"/>
        <v>0.2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43429.3</v>
      </c>
      <c r="D27" s="182">
        <f t="shared" si="0"/>
        <v>1.9</v>
      </c>
    </row>
    <row r="28" spans="1:4" x14ac:dyDescent="0.2">
      <c r="B28" s="187" t="s">
        <v>722</v>
      </c>
      <c r="C28" s="180">
        <f>SUM(C10:C27)</f>
        <v>2228235.2999999998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2228235.2999999998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45000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1313396</v>
      </c>
      <c r="D35" s="182">
        <f t="shared" ref="D35:D40" si="1">ROUND((C35/$C$41)*100,1)</f>
        <v>54.6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11311.320000000065</v>
      </c>
      <c r="D36" s="182">
        <f t="shared" si="1"/>
        <v>0.5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712725</v>
      </c>
      <c r="D37" s="182">
        <f t="shared" si="1"/>
        <v>29.6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19304</v>
      </c>
      <c r="D38" s="182">
        <f t="shared" si="1"/>
        <v>0.8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272070</v>
      </c>
      <c r="D39" s="182">
        <f t="shared" si="1"/>
        <v>11.3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77600</v>
      </c>
      <c r="D40" s="182">
        <f t="shared" si="1"/>
        <v>3.2</v>
      </c>
    </row>
    <row r="41" spans="1:4" x14ac:dyDescent="0.2">
      <c r="B41" s="187" t="s">
        <v>735</v>
      </c>
      <c r="C41" s="180">
        <f>SUM(C35:C40)</f>
        <v>2406406.3200000003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8" sqref="C8:M8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STEWARTSTOWN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>
        <v>19</v>
      </c>
      <c r="B4" s="219"/>
      <c r="C4" s="286" t="s">
        <v>913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 t="s">
        <v>916</v>
      </c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2017-08-30T16:01:47Z</cp:lastPrinted>
  <dcterms:created xsi:type="dcterms:W3CDTF">1997-12-04T19:04:30Z</dcterms:created>
  <dcterms:modified xsi:type="dcterms:W3CDTF">2017-11-29T18:06:35Z</dcterms:modified>
</cp:coreProperties>
</file>