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F85" i="2" s="1"/>
  <c r="I162" i="1"/>
  <c r="C11" i="10"/>
  <c r="C12" i="10"/>
  <c r="C16" i="10"/>
  <c r="L250" i="1"/>
  <c r="L332" i="1"/>
  <c r="L254" i="1"/>
  <c r="L268" i="1"/>
  <c r="L269" i="1"/>
  <c r="L349" i="1"/>
  <c r="L350" i="1"/>
  <c r="I665" i="1"/>
  <c r="I670" i="1"/>
  <c r="G661" i="1"/>
  <c r="H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3" i="2"/>
  <c r="E113" i="2"/>
  <c r="C114" i="2"/>
  <c r="D115" i="2"/>
  <c r="F115" i="2"/>
  <c r="G115" i="2"/>
  <c r="E124" i="2"/>
  <c r="C125" i="2"/>
  <c r="E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J571" i="1" s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J643" i="1" s="1"/>
  <c r="H643" i="1"/>
  <c r="G644" i="1"/>
  <c r="G652" i="1"/>
  <c r="H652" i="1"/>
  <c r="G653" i="1"/>
  <c r="H653" i="1"/>
  <c r="G654" i="1"/>
  <c r="H654" i="1"/>
  <c r="H655" i="1"/>
  <c r="J655" i="1" s="1"/>
  <c r="L256" i="1"/>
  <c r="G164" i="2"/>
  <c r="C26" i="10"/>
  <c r="L328" i="1"/>
  <c r="D12" i="13"/>
  <c r="C12" i="13" s="1"/>
  <c r="D18" i="13"/>
  <c r="C18" i="13" s="1"/>
  <c r="D17" i="13"/>
  <c r="C17" i="13" s="1"/>
  <c r="G157" i="2"/>
  <c r="G161" i="2"/>
  <c r="G62" i="2"/>
  <c r="D19" i="13"/>
  <c r="C19" i="13" s="1"/>
  <c r="J641" i="1"/>
  <c r="J639" i="1"/>
  <c r="L433" i="1"/>
  <c r="L419" i="1"/>
  <c r="G552" i="1"/>
  <c r="G338" i="1"/>
  <c r="G352" i="1" s="1"/>
  <c r="J140" i="1"/>
  <c r="I552" i="1"/>
  <c r="K549" i="1"/>
  <c r="K550" i="1"/>
  <c r="G22" i="2"/>
  <c r="J552" i="1"/>
  <c r="H552" i="1"/>
  <c r="C29" i="10"/>
  <c r="A13" i="12"/>
  <c r="F22" i="13"/>
  <c r="C22" i="13" s="1"/>
  <c r="H25" i="13"/>
  <c r="C25" i="13" s="1"/>
  <c r="L560" i="1"/>
  <c r="J545" i="1"/>
  <c r="F338" i="1"/>
  <c r="F352" i="1" s="1"/>
  <c r="F552" i="1"/>
  <c r="L309" i="1"/>
  <c r="L570" i="1"/>
  <c r="J636" i="1"/>
  <c r="G36" i="2"/>
  <c r="K551" i="1"/>
  <c r="G112" i="1" l="1"/>
  <c r="J651" i="1"/>
  <c r="K257" i="1"/>
  <c r="K271" i="1" s="1"/>
  <c r="J257" i="1"/>
  <c r="J271" i="1" s="1"/>
  <c r="H257" i="1"/>
  <c r="H271" i="1" s="1"/>
  <c r="J476" i="1"/>
  <c r="H626" i="1" s="1"/>
  <c r="I476" i="1"/>
  <c r="H625" i="1" s="1"/>
  <c r="H476" i="1"/>
  <c r="H624" i="1" s="1"/>
  <c r="G476" i="1"/>
  <c r="H623" i="1" s="1"/>
  <c r="F476" i="1"/>
  <c r="H622" i="1" s="1"/>
  <c r="J622" i="1" s="1"/>
  <c r="I446" i="1"/>
  <c r="G642" i="1" s="1"/>
  <c r="D145" i="2"/>
  <c r="E78" i="2"/>
  <c r="D91" i="2"/>
  <c r="F192" i="1"/>
  <c r="J625" i="1"/>
  <c r="F18" i="2"/>
  <c r="D50" i="2"/>
  <c r="K605" i="1"/>
  <c r="G648" i="1" s="1"/>
  <c r="K598" i="1"/>
  <c r="G647" i="1" s="1"/>
  <c r="L565" i="1"/>
  <c r="L524" i="1"/>
  <c r="L544" i="1"/>
  <c r="H545" i="1"/>
  <c r="K552" i="1"/>
  <c r="L401" i="1"/>
  <c r="C139" i="2" s="1"/>
  <c r="J644" i="1"/>
  <c r="D29" i="13"/>
  <c r="C29" i="13" s="1"/>
  <c r="I460" i="1"/>
  <c r="I461" i="1" s="1"/>
  <c r="H642" i="1" s="1"/>
  <c r="J642" i="1" s="1"/>
  <c r="J640" i="1"/>
  <c r="I369" i="1"/>
  <c r="H634" i="1" s="1"/>
  <c r="J634" i="1" s="1"/>
  <c r="L351" i="1"/>
  <c r="C25" i="10"/>
  <c r="H338" i="1"/>
  <c r="H352" i="1" s="1"/>
  <c r="C15" i="10"/>
  <c r="C13" i="10"/>
  <c r="E128" i="2"/>
  <c r="L290" i="1"/>
  <c r="E115" i="2"/>
  <c r="C10" i="10"/>
  <c r="C132" i="2"/>
  <c r="H33" i="13"/>
  <c r="H662" i="1"/>
  <c r="I662" i="1" s="1"/>
  <c r="D14" i="13"/>
  <c r="C14" i="13" s="1"/>
  <c r="C112" i="2"/>
  <c r="A31" i="12"/>
  <c r="C111" i="2"/>
  <c r="L247" i="1"/>
  <c r="H660" i="1" s="1"/>
  <c r="H664" i="1" s="1"/>
  <c r="H672" i="1" s="1"/>
  <c r="C6" i="10" s="1"/>
  <c r="C110" i="2"/>
  <c r="C109" i="2"/>
  <c r="G257" i="1"/>
  <c r="G271" i="1" s="1"/>
  <c r="G662" i="1"/>
  <c r="C21" i="10"/>
  <c r="C20" i="10"/>
  <c r="C19" i="10"/>
  <c r="C18" i="10"/>
  <c r="C17" i="10"/>
  <c r="C118" i="2"/>
  <c r="F257" i="1"/>
  <c r="F271" i="1" s="1"/>
  <c r="A40" i="12"/>
  <c r="L229" i="1"/>
  <c r="G660" i="1" s="1"/>
  <c r="G664" i="1" s="1"/>
  <c r="G672" i="1" s="1"/>
  <c r="C5" i="10" s="1"/>
  <c r="D5" i="13"/>
  <c r="C5" i="13" s="1"/>
  <c r="D7" i="13"/>
  <c r="C7" i="13" s="1"/>
  <c r="G649" i="1"/>
  <c r="J649" i="1" s="1"/>
  <c r="H647" i="1"/>
  <c r="D15" i="13"/>
  <c r="C15" i="13" s="1"/>
  <c r="C121" i="2"/>
  <c r="C124" i="2"/>
  <c r="C123" i="2"/>
  <c r="C122" i="2"/>
  <c r="E13" i="13"/>
  <c r="C13" i="13" s="1"/>
  <c r="C120" i="2"/>
  <c r="E8" i="13"/>
  <c r="C8" i="13" s="1"/>
  <c r="L211" i="1"/>
  <c r="F660" i="1" s="1"/>
  <c r="D6" i="13"/>
  <c r="C6" i="13" s="1"/>
  <c r="G645" i="1"/>
  <c r="J645" i="1" s="1"/>
  <c r="I169" i="1"/>
  <c r="F78" i="2"/>
  <c r="F81" i="2" s="1"/>
  <c r="H169" i="1"/>
  <c r="H193" i="1" s="1"/>
  <c r="G629" i="1" s="1"/>
  <c r="J629" i="1" s="1"/>
  <c r="E81" i="2"/>
  <c r="E62" i="2"/>
  <c r="E63" i="2" s="1"/>
  <c r="H112" i="1"/>
  <c r="C35" i="10"/>
  <c r="G192" i="1"/>
  <c r="I661" i="1"/>
  <c r="D63" i="2"/>
  <c r="C91" i="2"/>
  <c r="F169" i="1"/>
  <c r="C78" i="2"/>
  <c r="C81" i="2" s="1"/>
  <c r="C70" i="2"/>
  <c r="F112" i="1"/>
  <c r="C62" i="2"/>
  <c r="C63" i="2" s="1"/>
  <c r="I52" i="1"/>
  <c r="H620" i="1" s="1"/>
  <c r="J620" i="1" s="1"/>
  <c r="J624" i="1"/>
  <c r="E31" i="2"/>
  <c r="H52" i="1"/>
  <c r="H619" i="1" s="1"/>
  <c r="J619" i="1" s="1"/>
  <c r="J623" i="1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D103" i="2"/>
  <c r="I140" i="1"/>
  <c r="A22" i="12"/>
  <c r="G50" i="2"/>
  <c r="G51" i="2" s="1"/>
  <c r="H648" i="1"/>
  <c r="J652" i="1"/>
  <c r="G571" i="1"/>
  <c r="I434" i="1"/>
  <c r="G434" i="1"/>
  <c r="I663" i="1"/>
  <c r="C27" i="10"/>
  <c r="G635" i="1"/>
  <c r="J635" i="1" s="1"/>
  <c r="C36" i="10" l="1"/>
  <c r="J648" i="1"/>
  <c r="C115" i="2"/>
  <c r="C141" i="2"/>
  <c r="C144" i="2" s="1"/>
  <c r="L408" i="1"/>
  <c r="C39" i="10"/>
  <c r="E104" i="2"/>
  <c r="D104" i="2"/>
  <c r="E51" i="2"/>
  <c r="J647" i="1"/>
  <c r="L545" i="1"/>
  <c r="D31" i="13"/>
  <c r="C31" i="13" s="1"/>
  <c r="H667" i="1"/>
  <c r="C28" i="10"/>
  <c r="D19" i="10" s="1"/>
  <c r="C128" i="2"/>
  <c r="L257" i="1"/>
  <c r="L271" i="1" s="1"/>
  <c r="G632" i="1" s="1"/>
  <c r="J632" i="1" s="1"/>
  <c r="E33" i="13"/>
  <c r="D35" i="13" s="1"/>
  <c r="F664" i="1"/>
  <c r="I660" i="1"/>
  <c r="I664" i="1" s="1"/>
  <c r="I672" i="1" s="1"/>
  <c r="C7" i="10" s="1"/>
  <c r="G104" i="2"/>
  <c r="I193" i="1"/>
  <c r="G630" i="1" s="1"/>
  <c r="J630" i="1" s="1"/>
  <c r="F104" i="2"/>
  <c r="G667" i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24" i="10"/>
  <c r="D23" i="10"/>
  <c r="D22" i="10"/>
  <c r="D26" i="10"/>
  <c r="D27" i="10"/>
  <c r="D10" i="10"/>
  <c r="D20" i="10"/>
  <c r="D13" i="10"/>
  <c r="D18" i="10"/>
  <c r="D15" i="10"/>
  <c r="D11" i="10"/>
  <c r="D17" i="10"/>
  <c r="C30" i="10"/>
  <c r="D25" i="10"/>
  <c r="D21" i="10"/>
  <c r="D12" i="10"/>
  <c r="D16" i="10"/>
  <c r="F667" i="1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<sst xmlns="http://schemas.openxmlformats.org/spreadsheetml/2006/main" count="3958" uniqueCount="915">
  <si>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</si>
  <si>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</si>
  <si>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</si>
  <si>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</si>
  <si>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</si>
  <si>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</si>
  <si>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</si>
  <si>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</si>
  <si>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</si>
  <si>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</si>
  <si>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</si>
  <si>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</si>
  <si>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</si>
  <si>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</si>
  <si>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</si>
  <si>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</si>
  <si>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</si>
  <si>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</si>
  <si>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</si>
  <si>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</si>
  <si>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</si>
  <si>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</si>
  <si>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</si>
  <si>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</si>
  <si>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</si>
  <si>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</si>
  <si>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</si>
  <si>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</si>
  <si>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</si>
  <si>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</si>
  <si>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</si>
  <si>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</si>
  <si>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</si>
  <si>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</si>
  <si>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</si>
  <si>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</si>
  <si>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</si>
  <si>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</si>
  <si>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</si>
  <si>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</si>
  <si>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</si>
  <si>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</si>
  <si>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</si>
  <si>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</si>
  <si>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</si>
  <si>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</si>
  <si>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</si>
  <si>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</si>
  <si>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</si>
  <si>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</si>
  <si>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</si>
  <si>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</si>
  <si>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</si>
  <si>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</si>
  <si>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</si>
  <si>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</si>
  <si>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</si>
  <si>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</si>
  <si>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</si>
  <si>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</si>
  <si>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</si>
  <si>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</si>
  <si>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</si>
  <si>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</si>
  <si>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</si>
  <si>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</si>
  <si>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</si>
  <si>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</si>
  <si>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</si>
  <si>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</si>
  <si>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</si>
  <si>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</si>
  <si>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</si>
  <si>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</si>
  <si>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</si>
  <si>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</si>
  <si>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</si>
  <si>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</si>
  <si>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</si>
  <si>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</si>
  <si>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</si>
  <si>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</si>
  <si>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</si>
  <si>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</si>
  <si>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</si>
  <si>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</si>
  <si>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</si>
  <si>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</si>
  <si>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</si>
  <si>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</si>
  <si>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</si>
  <si>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</si>
  <si>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</si>
  <si>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</si>
  <si>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</si>
  <si>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</si>
  <si>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</si>
  <si>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</si>
  <si>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</si>
  <si>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</si>
  <si>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</si>
  <si>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</si>
  <si>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</si>
  <si>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</si>
  <si>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</si>
  <si>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</si>
  <si>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</si>
  <si>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</si>
  <si>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</si>
  <si>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</si>
  <si>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</si>
  <si>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</si>
  <si>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</si>
  <si>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</si>
  <si>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</si>
  <si>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</si>
  <si>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</si>
  <si>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</si>
  <si>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</si>
  <si>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</si>
  <si>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</si>
  <si>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</si>
  <si>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</si>
  <si>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</si>
  <si>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</si>
  <si>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</si>
  <si>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</si>
  <si>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</si>
  <si>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</si>
  <si>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</si>
  <si>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</si>
  <si>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</si>
  <si>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</si>
  <si>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</si>
  <si>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</si>
  <si>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</si>
  <si>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</si>
  <si>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</si>
  <si>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</si>
  <si>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</si>
  <si>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</si>
  <si>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</si>
  <si>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</si>
  <si>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</si>
  <si>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</si>
  <si>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</si>
  <si>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</si>
  <si>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</si>
  <si>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</si>
  <si>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</si>
  <si>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</si>
  <si>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</si>
  <si>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</si>
  <si>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</si>
  <si>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</si>
  <si>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</si>
  <si>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</si>
  <si>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</si>
  <si>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</si>
  <si>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</si>
  <si>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</si>
  <si>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</si>
  <si>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</si>
  <si>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</si>
  <si>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</si>
  <si>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</si>
  <si>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</si>
  <si>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</si>
  <si>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</si>
  <si>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</si>
  <si>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</si>
  <si>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</si>
  <si>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</si>
  <si>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</si>
  <si>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</si>
  <si>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</si>
  <si>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</si>
  <si>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</si>
  <si>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</si>
  <si>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</si>
  <si>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</si>
  <si>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</si>
  <si>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</si>
  <si>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</si>
  <si>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</si>
  <si>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</si>
  <si>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</si>
  <si>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</si>
  <si>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</si>
  <si>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</si>
  <si>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</si>
  <si>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</si>
  <si>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</si>
  <si>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</si>
  <si>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</si>
  <si>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</si>
  <si>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</si>
  <si>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</si>
  <si>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</si>
  <si>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</si>
  <si>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</si>
  <si>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</si>
  <si>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</si>
  <si>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</si>
  <si>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</si>
  <si>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</si>
  <si>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</si>
  <si>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</si>
  <si>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</si>
  <si>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</si>
  <si>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</si>
  <si>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</si>
  <si>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</si>
  <si>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</si>
  <si>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</si>
  <si>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</si>
  <si>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</si>
  <si>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</si>
  <si>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</si>
  <si>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</si>
  <si>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</si>
  <si>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</si>
  <si>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</si>
  <si>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</si>
  <si>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</si>
  <si>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</si>
  <si>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</si>
  <si>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</si>
  <si>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</si>
  <si>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</si>
  <si>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</si>
  <si>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</si>
  <si>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</si>
  <si>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</si>
  <si>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</si>
  <si>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</si>
  <si>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</si>
  <si>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</si>
  <si>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</si>
  <si>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</si>
  <si>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</si>
  <si>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</si>
  <si>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</si>
  <si>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</si>
  <si>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</si>
  <si>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</si>
  <si>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</si>
  <si>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</si>
  <si>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</si>
  <si>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</si>
  <si>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</si>
  <si>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</si>
  <si>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</si>
  <si>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</si>
  <si>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</si>
  <si>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</si>
  <si>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</si>
  <si>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</si>
  <si>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</si>
  <si>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</si>
  <si>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</si>
  <si>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</si>
  <si>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</si>
  <si>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</si>
  <si>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</si>
  <si>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</si>
  <si>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</si>
  <si>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</si>
  <si>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</si>
  <si>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</si>
  <si>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</si>
  <si>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</si>
  <si>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</si>
  <si>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</si>
  <si>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</si>
  <si>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</si>
  <si>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</si>
  <si>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</si>
  <si>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</si>
  <si>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</si>
  <si>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</si>
  <si>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</si>
  <si>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</si>
  <si>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</si>
  <si>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</si>
  <si>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</si>
  <si>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</si>
  <si>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</si>
  <si>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</si>
  <si>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</si>
  <si>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</si>
  <si>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</si>
  <si>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</si>
  <si>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</si>
  <si>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</si>
  <si>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</si>
  <si>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</si>
  <si>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</si>
  <si>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</si>
  <si>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</si>
  <si>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</si>
  <si>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</si>
  <si>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</si>
  <si>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</si>
  <si>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</si>
  <si>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</si>
  <si>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</si>
  <si>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</si>
  <si>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</si>
  <si>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</si>
  <si>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</si>
  <si>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</si>
  <si>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</si>
  <si>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</si>
  <si>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</si>
  <si>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</si>
  <si>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</si>
  <si>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</si>
  <si>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</si>
  <si>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</si>
  <si>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</si>
  <si>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</si>
  <si>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</si>
  <si>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</si>
  <si>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</si>
  <si>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</si>
  <si>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</si>
  <si>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</si>
  <si>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</si>
  <si>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</si>
  <si>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</si>
  <si>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</si>
  <si>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</si>
  <si>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</si>
  <si>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</si>
  <si>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</si>
  <si>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</si>
  <si>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</si>
  <si>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</si>
  <si>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</si>
  <si>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</si>
  <si>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</si>
  <si>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</si>
  <si>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</si>
  <si>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</si>
  <si>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</si>
  <si>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</si>
  <si>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</si>
  <si>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</si>
  <si>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</si>
  <si>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</si>
  <si>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</si>
  <si>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</si>
  <si>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</si>
  <si>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</si>
  <si>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</si>
  <si>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</si>
  <si>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</si>
  <si>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</si>
  <si>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</si>
  <si>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</si>
  <si>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</si>
  <si>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</si>
  <si>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</si>
  <si>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</si>
  <si>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</si>
  <si>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</si>
  <si>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</si>
  <si>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</si>
  <si>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</si>
  <si>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</si>
  <si>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</si>
  <si>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</si>
  <si>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</si>
  <si>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</si>
  <si>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</si>
  <si>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</si>
  <si>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</si>
  <si>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</si>
  <si>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</si>
  <si>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</si>
  <si>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</si>
  <si>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</si>
  <si>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</si>
  <si>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</si>
  <si>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</si>
  <si>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</si>
  <si>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</si>
  <si>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</si>
  <si>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</si>
  <si>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</si>
  <si>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</si>
  <si>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</si>
  <si>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</si>
  <si>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</si>
  <si>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</si>
  <si>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</si>
  <si>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</si>
  <si>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</si>
  <si>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</si>
  <si>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</si>
  <si>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</si>
  <si>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</si>
  <si>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</si>
  <si>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</si>
  <si>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</si>
  <si>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</si>
  <si>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</si>
  <si>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</si>
  <si>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</si>
  <si>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</si>
  <si>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</si>
  <si>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</si>
  <si>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</si>
  <si>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</si>
  <si>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</si>
  <si>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</si>
  <si>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</si>
  <si>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</si>
  <si>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</si>
  <si>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</si>
  <si>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</si>
  <si>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</si>
  <si>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</si>
  <si>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</si>
  <si>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</si>
  <si>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</si>
  <si>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</si>
  <si>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</si>
  <si>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</si>
  <si>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</si>
  <si>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</si>
  <si>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</si>
  <si>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</si>
  <si>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</si>
  <si>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</si>
  <si>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</si>
  <si>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</si>
  <si>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</si>
  <si>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</si>
  <si>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</si>
  <si>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</si>
  <si>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</si>
  <si>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</si>
  <si>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</si>
  <si>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</si>
  <si>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</si>
  <si>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</si>
  <si>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</si>
  <si>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</si>
  <si>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</si>
  <si>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</si>
  <si>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</si>
  <si>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</si>
  <si>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</si>
  <si>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</si>
  <si>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</si>
  <si>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</si>
  <si>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</si>
  <si>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</si>
  <si>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</si>
  <si>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</si>
  <si>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</si>
  <si>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</si>
  <si>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</si>
  <si>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</si>
  <si>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</si>
  <si>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</si>
  <si>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</si>
  <si>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</si>
  <si>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</si>
  <si>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</si>
  <si>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</si>
  <si>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</si>
  <si>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</si>
  <si>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</si>
  <si>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</si>
  <si>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</si>
  <si>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</si>
  <si>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</si>
  <si>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</si>
  <si>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</si>
  <si>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</si>
  <si>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</si>
  <si>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</si>
  <si>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</si>
  <si>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</si>
  <si>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</si>
  <si>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</si>
  <si>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</si>
  <si>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</si>
  <si>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</si>
  <si>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</si>
  <si>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</si>
  <si>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</si>
  <si>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</si>
  <si>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</si>
  <si>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</si>
  <si>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</si>
  <si>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</si>
  <si>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</si>
  <si>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</si>
  <si>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</si>
  <si>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</si>
  <si>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</si>
  <si>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</si>
  <si>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</si>
  <si>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</si>
  <si>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</si>
  <si>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</si>
  <si>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</si>
  <si>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</si>
  <si>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</si>
  <si>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</si>
  <si>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</si>
  <si>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</si>
  <si>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</si>
  <si>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</si>
  <si>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</si>
  <si>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</si>
  <si>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</si>
  <si>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</si>
  <si>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</si>
  <si>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</si>
  <si>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</si>
  <si>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</si>
  <si>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</si>
  <si>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</si>
  <si>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</si>
  <si>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</si>
  <si>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</si>
  <si>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</si>
  <si>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</si>
  <si>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</si>
  <si>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</si>
  <si>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</si>
  <si>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</si>
  <si>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</si>
  <si>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</si>
  <si>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</si>
  <si>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</si>
  <si>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</si>
  <si>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</si>
  <si>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</si>
  <si>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</si>
  <si>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</si>
  <si>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</si>
  <si>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</si>
  <si>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</si>
  <si>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</si>
  <si>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</si>
  <si>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</si>
  <si>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</si>
  <si>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</si>
  <si>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</si>
  <si>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</si>
  <si>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</si>
  <si>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</si>
  <si>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</si>
  <si>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</si>
  <si>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</si>
  <si>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</si>
  <si>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</si>
  <si>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</si>
  <si>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</si>
  <si>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</si>
  <si>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</si>
  <si>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</si>
  <si>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</si>
  <si>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</si>
  <si>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</si>
  <si>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</si>
  <si>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</si>
  <si>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</si>
  <si>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</si>
  <si>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</si>
  <si>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</si>
  <si>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</si>
  <si>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</si>
  <si>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</si>
  <si>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</si>
  <si>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</si>
  <si>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</si>
  <si>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</si>
  <si>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</si>
  <si>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</si>
  <si>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</si>
  <si>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</si>
  <si>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</si>
  <si>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</si>
  <si>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</si>
  <si>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</si>
  <si>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</si>
  <si>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</si>
  <si>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</si>
  <si>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</si>
  <si>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</si>
  <si>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</si>
  <si>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</si>
  <si>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</si>
  <si>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</si>
  <si>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</si>
  <si>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</si>
  <si>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</si>
  <si>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</si>
  <si>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</si>
  <si>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</si>
  <si>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</si>
  <si>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</si>
  <si>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</si>
  <si>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</si>
  <si>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</si>
  <si>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</si>
  <si>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</si>
  <si>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</si>
  <si>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</si>
  <si>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</si>
  <si>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</si>
  <si>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</si>
  <si>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</si>
  <si>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</si>
  <si>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</si>
  <si>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</si>
  <si>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</si>
  <si>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</si>
  <si>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</si>
  <si>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</si>
  <si>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</si>
  <si>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</si>
  <si>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</si>
  <si>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</si>
  <si>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</si>
  <si>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</si>
  <si>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</si>
  <si>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</si>
  <si>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</si>
  <si>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</si>
  <si>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</si>
  <si>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</si>
  <si>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</si>
  <si>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</si>
  <si>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</si>
  <si>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</si>
  <si>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</si>
  <si>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</si>
  <si>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</si>
  <si>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</si>
  <si>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</si>
  <si>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</si>
  <si>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</si>
  <si>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</si>
  <si>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</si>
  <si>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</si>
  <si>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</si>
  <si>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</si>
  <si>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</si>
  <si>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</si>
  <si>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</si>
  <si>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</si>
  <si>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</si>
  <si>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</si>
  <si>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</si>
  <si>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</si>
  <si>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</si>
  <si>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</si>
  <si>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</si>
  <si>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</si>
  <si>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</si>
  <si>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</si>
  <si>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</si>
  <si>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</si>
  <si>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</si>
  <si>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</si>
  <si>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</si>
  <si>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</si>
  <si>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</si>
  <si>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</si>
  <si>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</si>
  <si>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</si>
  <si>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</si>
  <si>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</si>
  <si>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</si>
  <si>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</si>
  <si>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</si>
  <si>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</si>
  <si>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</si>
  <si>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</si>
  <si>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</si>
  <si>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</si>
  <si>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</si>
  <si>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</si>
  <si>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</si>
  <si>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</si>
  <si>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</si>
  <si>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</si>
  <si>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</si>
  <si>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</si>
  <si>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</si>
  <si>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</si>
  <si>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</si>
  <si>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</si>
  <si>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</si>
  <si>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</si>
  <si>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</si>
  <si>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</si>
  <si>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</si>
  <si>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</si>
  <si>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</si>
  <si>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</si>
  <si>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</si>
  <si>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</si>
  <si>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</si>
  <si>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</si>
  <si>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</si>
  <si>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</si>
  <si>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</si>
  <si>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</si>
  <si>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</si>
  <si>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</si>
  <si>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</si>
  <si>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</si>
  <si>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</si>
  <si>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</si>
  <si>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</si>
  <si>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</si>
  <si>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</si>
  <si>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</si>
  <si>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</si>
  <si>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</si>
  <si>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</si>
  <si>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</si>
  <si>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</si>
  <si>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</si>
  <si>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</si>
  <si>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</si>
  <si>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</si>
  <si>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</si>
  <si>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</si>
  <si>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</si>
  <si>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</si>
  <si>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</si>
  <si>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</si>
  <si>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</si>
  <si>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</si>
  <si>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</si>
  <si>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</si>
  <si>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</si>
  <si>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</si>
  <si>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</si>
  <si>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</si>
  <si>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</si>
  <si>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</si>
  <si>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</si>
  <si>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</si>
  <si>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</si>
  <si>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</si>
  <si>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</si>
  <si>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</si>
  <si>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</si>
  <si>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</si>
  <si>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</si>
  <si>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</si>
  <si>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</si>
  <si>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</si>
  <si>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</si>
  <si>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</si>
  <si>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</si>
  <si>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</si>
  <si>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</si>
  <si>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</si>
  <si>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</si>
  <si>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</si>
  <si>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</si>
  <si>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</si>
  <si>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</si>
  <si>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</si>
  <si>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</si>
  <si>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</si>
  <si>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</si>
  <si>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</si>
  <si>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</si>
  <si>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</si>
  <si>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</si>
  <si>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</si>
  <si>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</si>
  <si>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</si>
  <si>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</si>
  <si>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</si>
  <si>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</si>
  <si>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</si>
  <si>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</si>
  <si>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</si>
  <si>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</si>
  <si>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</si>
  <si>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</si>
  <si>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</si>
  <si>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</si>
  <si>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</si>
  <si>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</si>
  <si>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</si>
  <si>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</si>
  <si>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</si>
  <si>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</si>
  <si>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</si>
  <si>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</si>
  <si>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</si>
  <si>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</si>
  <si>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</si>
  <si>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</si>
  <si>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</si>
  <si>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</si>
  <si>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</si>
  <si>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</si>
  <si>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</si>
  <si>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</si>
  <si>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</si>
  <si>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</si>
  <si>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</si>
  <si>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</si>
  <si>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</si>
  <si>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</si>
  <si>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</si>
  <si>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</si>
  <si>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</si>
  <si>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</si>
  <si>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</si>
  <si>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</si>
  <si>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</si>
  <si>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</si>
  <si>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</si>
  <si>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</si>
  <si>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</si>
  <si>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</si>
  <si>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</si>
  <si>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</si>
  <si>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</si>
  <si>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</si>
  <si>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</si>
  <si>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</si>
  <si>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</si>
  <si>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</si>
  <si>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</si>
  <si>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</si>
  <si>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</si>
  <si>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</si>
  <si>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</si>
  <si>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</si>
  <si>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</si>
  <si>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</si>
  <si>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</si>
  <si>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</si>
  <si>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</si>
  <si>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</si>
  <si>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</si>
  <si>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</si>
  <si>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</si>
  <si>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</si>
  <si>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</si>
  <si>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</si>
  <si>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</si>
  <si>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</si>
  <si>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</si>
  <si>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</si>
  <si>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</si>
  <si>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</si>
  <si>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</si>
  <si>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</si>
  <si>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</si>
  <si>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</si>
  <si>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</si>
  <si>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</si>
  <si>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</si>
  <si>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</si>
  <si>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</si>
  <si>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</si>
  <si>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</si>
  <si>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</si>
  <si>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</si>
  <si>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</si>
  <si>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</si>
  <si>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</si>
  <si>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</si>
  <si>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</si>
  <si>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</si>
  <si>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</si>
  <si>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</si>
  <si>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</si>
  <si>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</si>
  <si>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</si>
  <si>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</si>
  <si>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</si>
  <si>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</si>
  <si>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</si>
  <si>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</si>
  <si>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</si>
  <si>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</si>
  <si>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</si>
  <si>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</si>
  <si>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</si>
  <si>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</si>
  <si>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</si>
  <si>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</si>
  <si>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</si>
  <si>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</si>
  <si>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</si>
  <si>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</si>
  <si>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</si>
  <si>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</si>
  <si>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</si>
  <si>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</si>
  <si>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</si>
  <si>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</si>
  <si>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STODDARD SCHOOL DISTRICT</t>
  </si>
  <si>
    <t>PAYABLES NOT PAID</t>
  </si>
  <si>
    <t>ADJUSTMENT TO TRUSTEES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</si>
</sst>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503</v>
      </c>
      <c r="C2" s="21">
        <v>503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246191.9</v>
      </c>
      <c r="G9" s="18">
        <v>-2327.65</v>
      </c>
      <c r="H9" s="18">
        <v>-2508.46</v>
      </c>
      <c r="I9" s="18">
        <v>0</v>
      </c>
      <c r="J9" s="67">
        <f>SUM(I439)</f>
        <v>437798.15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>
        <v>1370.29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89.05</v>
      </c>
      <c r="G13" s="18">
        <v>957.36</v>
      </c>
      <c r="H13" s="18">
        <v>2882.46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27.5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246308.44999999998</v>
      </c>
      <c r="G19" s="41">
        <f>SUM(G9:G18)</f>
        <v>-1.1368683772161603E-13</v>
      </c>
      <c r="H19" s="41">
        <f>SUM(H9:H18)</f>
        <v>374</v>
      </c>
      <c r="I19" s="41">
        <f>SUM(I9:I18)</f>
        <v>0</v>
      </c>
      <c r="J19" s="41">
        <f>SUM(J9:J18)</f>
        <v>437798.15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1370.29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14746.13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695</v>
      </c>
      <c r="G25" s="145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2300.86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19112.28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>
        <v>0</v>
      </c>
      <c r="H44" s="18">
        <v>0</v>
      </c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374</v>
      </c>
      <c r="I48" s="18"/>
      <c r="J48" s="13">
        <f>SUM(I459)</f>
        <v>437798.15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227196.17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227196.17</v>
      </c>
      <c r="G51" s="41">
        <f>SUM(G35:G50)</f>
        <v>0</v>
      </c>
      <c r="H51" s="41">
        <f>SUM(H35:H50)</f>
        <v>374</v>
      </c>
      <c r="I51" s="41">
        <f>SUM(I35:I50)</f>
        <v>0</v>
      </c>
      <c r="J51" s="41">
        <f>SUM(J35:J50)</f>
        <v>437798.15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246308.45</v>
      </c>
      <c r="G52" s="41">
        <f>G51+G32</f>
        <v>0</v>
      </c>
      <c r="H52" s="41">
        <f>H51+H32</f>
        <v>374</v>
      </c>
      <c r="I52" s="41">
        <f>I51+I32</f>
        <v>0</v>
      </c>
      <c r="J52" s="41">
        <f>J51+J32</f>
        <v>437798.15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1703692</v>
      </c>
      <c r="G57" s="18">
        <v>18000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1703692</v>
      </c>
      <c r="G60" s="41">
        <f>SUM(G57:G59)</f>
        <v>18000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564.87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11668.89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29097.3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1547.75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5511.14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7058.89</v>
      </c>
      <c r="G111" s="41">
        <f>SUM(G96:G110)</f>
        <v>11668.89</v>
      </c>
      <c r="H111" s="41">
        <f>SUM(H96:H110)</f>
        <v>29097.3</v>
      </c>
      <c r="I111" s="41">
        <f>SUM(I96:I110)</f>
        <v>0</v>
      </c>
      <c r="J111" s="41">
        <f>SUM(J96:J110)</f>
        <v>564.87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1710750.89</v>
      </c>
      <c r="G112" s="41">
        <f>G60+G111</f>
        <v>29668.89</v>
      </c>
      <c r="H112" s="41">
        <f>H60+H79+H94+H111</f>
        <v>29097.3</v>
      </c>
      <c r="I112" s="41">
        <f>I60+I111</f>
        <v>0</v>
      </c>
      <c r="J112" s="41">
        <f>J60+J111</f>
        <v>564.87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65453.41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588201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22879</v>
      </c>
      <c r="G120" s="18">
        <v>0</v>
      </c>
      <c r="H120" s="18">
        <v>0</v>
      </c>
      <c r="I120" s="18">
        <v>0</v>
      </c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676533.41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46121.72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385.68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46121.72</v>
      </c>
      <c r="G136" s="41">
        <f>SUM(G123:G135)</f>
        <v>385.68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722655.13</v>
      </c>
      <c r="G140" s="41">
        <f>G121+SUM(G136:G137)</f>
        <v>385.68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18603.68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13738.54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11996.87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11996.87</v>
      </c>
      <c r="G162" s="41">
        <f>SUM(G150:G161)</f>
        <v>13738.54</v>
      </c>
      <c r="H162" s="41">
        <f>SUM(H150:H161)</f>
        <v>18603.68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11996.87</v>
      </c>
      <c r="G169" s="41">
        <f>G147+G162+SUM(G163:G168)</f>
        <v>13738.54</v>
      </c>
      <c r="H169" s="41">
        <f>H147+H162+SUM(H163:H168)</f>
        <v>18603.68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>
        <v>0</v>
      </c>
      <c r="I179" s="18">
        <v>0</v>
      </c>
      <c r="J179" s="18">
        <v>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2445402.89</v>
      </c>
      <c r="G193" s="47">
        <f>G112+G140+G169+G192</f>
        <v>43793.11</v>
      </c>
      <c r="H193" s="47">
        <f>H112+H140+H169+H192</f>
        <v>47700.979999999996</v>
      </c>
      <c r="I193" s="47">
        <f>I112+I140+I169+I192</f>
        <v>0</v>
      </c>
      <c r="J193" s="47">
        <f>J112+J140+J192</f>
        <v>564.87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246046.66</v>
      </c>
      <c r="G197" s="18">
        <v>89845.28</v>
      </c>
      <c r="H197" s="18">
        <v>8317.9</v>
      </c>
      <c r="I197" s="18">
        <v>15324.99</v>
      </c>
      <c r="J197" s="18">
        <v>11534.59</v>
      </c>
      <c r="K197" s="18">
        <v>3000</v>
      </c>
      <c r="L197" s="19">
        <f>SUM(F197:K197)</f>
        <v>374069.42000000004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127981</v>
      </c>
      <c r="G198" s="18">
        <v>18073.509999999998</v>
      </c>
      <c r="H198" s="18">
        <v>19646.93</v>
      </c>
      <c r="I198" s="18">
        <v>1660.48</v>
      </c>
      <c r="J198" s="18">
        <v>0</v>
      </c>
      <c r="K198" s="18">
        <v>1245.99</v>
      </c>
      <c r="L198" s="19">
        <f>SUM(F198:K198)</f>
        <v>168607.91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21662.25</v>
      </c>
      <c r="G202" s="18">
        <v>1657.17</v>
      </c>
      <c r="H202" s="18">
        <v>106140</v>
      </c>
      <c r="I202" s="18">
        <v>1843.22</v>
      </c>
      <c r="J202" s="18">
        <v>0</v>
      </c>
      <c r="K202" s="18">
        <v>0</v>
      </c>
      <c r="L202" s="19">
        <f t="shared" ref="L202:L208" si="0">SUM(F202:K202)</f>
        <v>131302.63999999998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5157.8100000000004</v>
      </c>
      <c r="G203" s="18">
        <v>4522.7299999999996</v>
      </c>
      <c r="H203" s="18">
        <v>1124</v>
      </c>
      <c r="I203" s="18">
        <v>14554.17</v>
      </c>
      <c r="J203" s="18">
        <v>19097.66</v>
      </c>
      <c r="K203" s="18">
        <v>487.7</v>
      </c>
      <c r="L203" s="19">
        <f t="shared" si="0"/>
        <v>44944.069999999992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1408</v>
      </c>
      <c r="G204" s="18">
        <v>107.72</v>
      </c>
      <c r="H204" s="18">
        <v>73285.570000000007</v>
      </c>
      <c r="I204" s="18">
        <v>1113.51</v>
      </c>
      <c r="J204" s="18">
        <v>0</v>
      </c>
      <c r="K204" s="18">
        <v>2831.14</v>
      </c>
      <c r="L204" s="19">
        <f t="shared" si="0"/>
        <v>78745.94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99372.74</v>
      </c>
      <c r="G205" s="18">
        <v>42764.55</v>
      </c>
      <c r="H205" s="18">
        <v>13340.59</v>
      </c>
      <c r="I205" s="18">
        <v>570.09</v>
      </c>
      <c r="J205" s="18">
        <v>0</v>
      </c>
      <c r="K205" s="18">
        <v>855</v>
      </c>
      <c r="L205" s="19">
        <f t="shared" si="0"/>
        <v>156902.97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48554.03</v>
      </c>
      <c r="G207" s="18">
        <v>3871.29</v>
      </c>
      <c r="H207" s="18">
        <v>80730.78</v>
      </c>
      <c r="I207" s="18">
        <v>28945.9</v>
      </c>
      <c r="J207" s="18">
        <v>5118.76</v>
      </c>
      <c r="K207" s="18">
        <v>0</v>
      </c>
      <c r="L207" s="19">
        <f t="shared" si="0"/>
        <v>167220.76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35517.449999999997</v>
      </c>
      <c r="I208" s="18">
        <v>0</v>
      </c>
      <c r="J208" s="18">
        <v>0</v>
      </c>
      <c r="K208" s="18">
        <v>0</v>
      </c>
      <c r="L208" s="19">
        <f t="shared" si="0"/>
        <v>35517.449999999997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550182.49</v>
      </c>
      <c r="G211" s="41">
        <f t="shared" si="1"/>
        <v>160842.25</v>
      </c>
      <c r="H211" s="41">
        <f t="shared" si="1"/>
        <v>338103.22000000003</v>
      </c>
      <c r="I211" s="41">
        <f t="shared" si="1"/>
        <v>64012.36</v>
      </c>
      <c r="J211" s="41">
        <f t="shared" si="1"/>
        <v>35751.01</v>
      </c>
      <c r="K211" s="41">
        <f t="shared" si="1"/>
        <v>8419.83</v>
      </c>
      <c r="L211" s="41">
        <f t="shared" si="1"/>
        <v>1157311.1599999999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>
        <v>308990.28000000003</v>
      </c>
      <c r="I215" s="18">
        <v>0</v>
      </c>
      <c r="J215" s="18">
        <v>0</v>
      </c>
      <c r="K215" s="18">
        <v>0</v>
      </c>
      <c r="L215" s="19">
        <f>SUM(F215:K215)</f>
        <v>308990.28000000003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0</v>
      </c>
      <c r="G216" s="18">
        <v>0</v>
      </c>
      <c r="H216" s="18">
        <v>133634.04</v>
      </c>
      <c r="I216" s="18">
        <v>0</v>
      </c>
      <c r="J216" s="18">
        <v>0</v>
      </c>
      <c r="K216" s="18">
        <v>0</v>
      </c>
      <c r="L216" s="19">
        <f>SUM(F216:K216)</f>
        <v>133634.04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162</v>
      </c>
      <c r="G222" s="18">
        <v>12.39</v>
      </c>
      <c r="H222" s="18">
        <v>23882.5</v>
      </c>
      <c r="I222" s="18">
        <v>40.659999999999997</v>
      </c>
      <c r="J222" s="18">
        <v>0</v>
      </c>
      <c r="K222" s="18">
        <v>272.39999999999998</v>
      </c>
      <c r="L222" s="19">
        <f t="shared" si="2"/>
        <v>24369.95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13238.64</v>
      </c>
      <c r="I226" s="18">
        <v>0</v>
      </c>
      <c r="J226" s="18">
        <v>0</v>
      </c>
      <c r="K226" s="18">
        <v>0</v>
      </c>
      <c r="L226" s="19">
        <f t="shared" si="2"/>
        <v>13238.64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162</v>
      </c>
      <c r="G229" s="41">
        <f>SUM(G215:G228)</f>
        <v>12.39</v>
      </c>
      <c r="H229" s="41">
        <f>SUM(H215:H228)</f>
        <v>479745.46000000008</v>
      </c>
      <c r="I229" s="41">
        <f>SUM(I215:I228)</f>
        <v>40.659999999999997</v>
      </c>
      <c r="J229" s="41">
        <f>SUM(J215:J228)</f>
        <v>0</v>
      </c>
      <c r="K229" s="41">
        <f t="shared" si="3"/>
        <v>272.39999999999998</v>
      </c>
      <c r="L229" s="41">
        <f t="shared" si="3"/>
        <v>480232.91000000009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410092.75</v>
      </c>
      <c r="I233" s="18">
        <v>0</v>
      </c>
      <c r="J233" s="18">
        <v>0</v>
      </c>
      <c r="K233" s="18">
        <v>0</v>
      </c>
      <c r="L233" s="19">
        <f>SUM(F233:K233)</f>
        <v>410092.75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298225.02</v>
      </c>
      <c r="I234" s="18">
        <v>0</v>
      </c>
      <c r="J234" s="18">
        <v>0</v>
      </c>
      <c r="K234" s="18">
        <v>0</v>
      </c>
      <c r="L234" s="19">
        <f>SUM(F234:K234)</f>
        <v>298225.02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/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380</v>
      </c>
      <c r="G240" s="18">
        <v>29.07</v>
      </c>
      <c r="H240" s="18">
        <v>56193.08</v>
      </c>
      <c r="I240" s="18">
        <v>96.26</v>
      </c>
      <c r="J240" s="18">
        <v>0</v>
      </c>
      <c r="K240" s="18">
        <v>638.29999999999995</v>
      </c>
      <c r="L240" s="19">
        <f t="shared" si="4"/>
        <v>57336.710000000006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83848.399999999994</v>
      </c>
      <c r="I244" s="18">
        <v>0</v>
      </c>
      <c r="J244" s="18">
        <v>0</v>
      </c>
      <c r="K244" s="18">
        <v>0</v>
      </c>
      <c r="L244" s="19">
        <f t="shared" si="4"/>
        <v>83848.399999999994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380</v>
      </c>
      <c r="G247" s="41">
        <f t="shared" si="5"/>
        <v>29.07</v>
      </c>
      <c r="H247" s="41">
        <f t="shared" si="5"/>
        <v>848359.25</v>
      </c>
      <c r="I247" s="41">
        <f t="shared" si="5"/>
        <v>96.26</v>
      </c>
      <c r="J247" s="41">
        <f t="shared" si="5"/>
        <v>0</v>
      </c>
      <c r="K247" s="41">
        <f t="shared" si="5"/>
        <v>638.29999999999995</v>
      </c>
      <c r="L247" s="41">
        <f t="shared" si="5"/>
        <v>849502.88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550724.49</v>
      </c>
      <c r="G257" s="41">
        <f t="shared" si="8"/>
        <v>160883.71000000002</v>
      </c>
      <c r="H257" s="41">
        <f t="shared" si="8"/>
        <v>1666207.9300000002</v>
      </c>
      <c r="I257" s="41">
        <f t="shared" si="8"/>
        <v>64149.280000000006</v>
      </c>
      <c r="J257" s="41">
        <f t="shared" si="8"/>
        <v>35751.01</v>
      </c>
      <c r="K257" s="41">
        <f t="shared" si="8"/>
        <v>9330.5299999999988</v>
      </c>
      <c r="L257" s="41">
        <f t="shared" si="8"/>
        <v>2487046.9500000002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550724.49</v>
      </c>
      <c r="G271" s="42">
        <f t="shared" si="11"/>
        <v>160883.71000000002</v>
      </c>
      <c r="H271" s="42">
        <f t="shared" si="11"/>
        <v>1666207.9300000002</v>
      </c>
      <c r="I271" s="42">
        <f t="shared" si="11"/>
        <v>64149.280000000006</v>
      </c>
      <c r="J271" s="42">
        <f t="shared" si="11"/>
        <v>35751.01</v>
      </c>
      <c r="K271" s="42">
        <f t="shared" si="11"/>
        <v>9330.5299999999988</v>
      </c>
      <c r="L271" s="42">
        <f t="shared" si="11"/>
        <v>2487046.9500000002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34374.01</v>
      </c>
      <c r="G276" s="18">
        <v>2973.97</v>
      </c>
      <c r="H276" s="18">
        <v>0</v>
      </c>
      <c r="I276" s="18">
        <v>126</v>
      </c>
      <c r="J276" s="18">
        <v>0</v>
      </c>
      <c r="K276" s="18">
        <v>7394.8</v>
      </c>
      <c r="L276" s="19">
        <f>SUM(F276:K276)</f>
        <v>44868.780000000006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2000</v>
      </c>
      <c r="G282" s="18">
        <v>453.57</v>
      </c>
      <c r="H282" s="18">
        <v>375.74</v>
      </c>
      <c r="I282" s="18">
        <v>0</v>
      </c>
      <c r="J282" s="18">
        <v>0</v>
      </c>
      <c r="K282" s="18">
        <v>0</v>
      </c>
      <c r="L282" s="19">
        <f t="shared" si="12"/>
        <v>2829.3100000000004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128.88999999999999</v>
      </c>
      <c r="L283" s="19">
        <f t="shared" si="12"/>
        <v>128.88999999999999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36374.01</v>
      </c>
      <c r="G290" s="42">
        <f t="shared" si="13"/>
        <v>3427.54</v>
      </c>
      <c r="H290" s="42">
        <f t="shared" si="13"/>
        <v>375.74</v>
      </c>
      <c r="I290" s="42">
        <f t="shared" si="13"/>
        <v>126</v>
      </c>
      <c r="J290" s="42">
        <f t="shared" si="13"/>
        <v>0</v>
      </c>
      <c r="K290" s="42">
        <f t="shared" si="13"/>
        <v>7523.6900000000005</v>
      </c>
      <c r="L290" s="41">
        <f t="shared" si="13"/>
        <v>47826.98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36374.01</v>
      </c>
      <c r="G338" s="41">
        <f t="shared" si="20"/>
        <v>3427.54</v>
      </c>
      <c r="H338" s="41">
        <f t="shared" si="20"/>
        <v>375.74</v>
      </c>
      <c r="I338" s="41">
        <f t="shared" si="20"/>
        <v>126</v>
      </c>
      <c r="J338" s="41">
        <f t="shared" si="20"/>
        <v>0</v>
      </c>
      <c r="K338" s="41">
        <f t="shared" si="20"/>
        <v>7523.6900000000005</v>
      </c>
      <c r="L338" s="41">
        <f t="shared" si="20"/>
        <v>47826.98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36374.01</v>
      </c>
      <c r="G352" s="41">
        <f>G338</f>
        <v>3427.54</v>
      </c>
      <c r="H352" s="41">
        <f>H338</f>
        <v>375.74</v>
      </c>
      <c r="I352" s="41">
        <f>I338</f>
        <v>126</v>
      </c>
      <c r="J352" s="41">
        <f>J338</f>
        <v>0</v>
      </c>
      <c r="K352" s="47">
        <f>K338+K351</f>
        <v>7523.6900000000005</v>
      </c>
      <c r="L352" s="41">
        <f>L338+L351</f>
        <v>47826.98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8006.19</v>
      </c>
      <c r="G358" s="18">
        <v>612.47</v>
      </c>
      <c r="H358" s="18">
        <v>37573.599999999999</v>
      </c>
      <c r="I358" s="18">
        <v>187.5</v>
      </c>
      <c r="J358" s="18">
        <v>0</v>
      </c>
      <c r="K358" s="18">
        <v>0</v>
      </c>
      <c r="L358" s="13">
        <f>SUM(F358:K358)</f>
        <v>46379.759999999995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8006.19</v>
      </c>
      <c r="G362" s="47">
        <f t="shared" si="22"/>
        <v>612.47</v>
      </c>
      <c r="H362" s="47">
        <f t="shared" si="22"/>
        <v>37573.599999999999</v>
      </c>
      <c r="I362" s="47">
        <f t="shared" si="22"/>
        <v>187.5</v>
      </c>
      <c r="J362" s="47">
        <f t="shared" si="22"/>
        <v>0</v>
      </c>
      <c r="K362" s="47">
        <f t="shared" si="22"/>
        <v>0</v>
      </c>
      <c r="L362" s="47">
        <f t="shared" si="22"/>
        <v>46379.759999999995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187.5</v>
      </c>
      <c r="G367" s="18"/>
      <c r="H367" s="18"/>
      <c r="I367" s="56">
        <f>SUM(F367:H367)</f>
        <v>187.5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187.5</v>
      </c>
      <c r="G369" s="47">
        <f>SUM(G367:G368)</f>
        <v>0</v>
      </c>
      <c r="H369" s="47">
        <f>SUM(H367:H368)</f>
        <v>0</v>
      </c>
      <c r="I369" s="47">
        <f>SUM(I367:I368)</f>
        <v>187.5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0</v>
      </c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0</v>
      </c>
      <c r="H396" s="18">
        <v>529.66</v>
      </c>
      <c r="I396" s="18"/>
      <c r="J396" s="24" t="s">
        <v>288</v>
      </c>
      <c r="K396" s="24" t="s">
        <v>288</v>
      </c>
      <c r="L396" s="56">
        <f t="shared" si="26"/>
        <v>529.66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35.21</v>
      </c>
      <c r="I398" s="18"/>
      <c r="J398" s="24" t="s">
        <v>288</v>
      </c>
      <c r="K398" s="24" t="s">
        <v>288</v>
      </c>
      <c r="L398" s="56">
        <f t="shared" si="26"/>
        <v>35.21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564.87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564.87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564.87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564.87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437798.15</v>
      </c>
      <c r="H439" s="18"/>
      <c r="I439" s="56">
        <f t="shared" ref="I439:I445" si="33">SUM(F439:H439)</f>
        <v>437798.15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437798.15</v>
      </c>
      <c r="H446" s="13">
        <f>SUM(H439:H445)</f>
        <v>0</v>
      </c>
      <c r="I446" s="13">
        <f>SUM(I439:I445)</f>
        <v>437798.15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437798.15</v>
      </c>
      <c r="H459" s="18"/>
      <c r="I459" s="56">
        <f t="shared" si="34"/>
        <v>437798.15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437798.15</v>
      </c>
      <c r="H460" s="83">
        <f>SUM(H454:H459)</f>
        <v>0</v>
      </c>
      <c r="I460" s="83">
        <f>SUM(I454:I459)</f>
        <v>437798.15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437798.15</v>
      </c>
      <c r="H461" s="42">
        <f>H452+H460</f>
        <v>0</v>
      </c>
      <c r="I461" s="42">
        <f>I452+I460</f>
        <v>437798.15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250695.81</v>
      </c>
      <c r="G465" s="18">
        <v>2586.65</v>
      </c>
      <c r="H465" s="18">
        <v>500</v>
      </c>
      <c r="I465" s="18">
        <v>0</v>
      </c>
      <c r="J465" s="18">
        <v>437311.98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2445402.89</v>
      </c>
      <c r="G468" s="18">
        <v>43793.11</v>
      </c>
      <c r="H468" s="18">
        <v>47700.98</v>
      </c>
      <c r="I468" s="18">
        <v>0</v>
      </c>
      <c r="J468" s="18">
        <v>564.87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18144.419999999998</v>
      </c>
      <c r="G469" s="18"/>
      <c r="H469" s="18"/>
      <c r="I469" s="18"/>
      <c r="J469" s="18">
        <v>192.87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2463547.31</v>
      </c>
      <c r="G470" s="53">
        <f>SUM(G468:G469)</f>
        <v>43793.11</v>
      </c>
      <c r="H470" s="53">
        <f>SUM(H468:H469)</f>
        <v>47700.98</v>
      </c>
      <c r="I470" s="53">
        <f>SUM(I468:I469)</f>
        <v>0</v>
      </c>
      <c r="J470" s="53">
        <f>SUM(J468:J469)</f>
        <v>757.74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2487046.9500000002</v>
      </c>
      <c r="G472" s="18">
        <v>46379.76</v>
      </c>
      <c r="H472" s="18">
        <v>47826.98</v>
      </c>
      <c r="I472" s="18">
        <v>0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>
        <v>271.57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2487046.9500000002</v>
      </c>
      <c r="G474" s="53">
        <f>SUM(G472:G473)</f>
        <v>46379.76</v>
      </c>
      <c r="H474" s="53">
        <f>SUM(H472:H473)</f>
        <v>47826.98</v>
      </c>
      <c r="I474" s="53">
        <f>SUM(I472:I473)</f>
        <v>0</v>
      </c>
      <c r="J474" s="53">
        <f>SUM(J472:J473)</f>
        <v>271.57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227196.16999999993</v>
      </c>
      <c r="G476" s="53">
        <f>(G465+G470)- G474</f>
        <v>0</v>
      </c>
      <c r="H476" s="53">
        <f>(H465+H470)- H474</f>
        <v>374</v>
      </c>
      <c r="I476" s="53">
        <f>(I465+I470)- I474</f>
        <v>0</v>
      </c>
      <c r="J476" s="53">
        <f>(J465+J470)- J474</f>
        <v>437798.14999999997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5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127981</v>
      </c>
      <c r="G521" s="18">
        <v>18073.509999999998</v>
      </c>
      <c r="H521" s="18">
        <v>19066.560000000001</v>
      </c>
      <c r="I521" s="18">
        <v>1660.48</v>
      </c>
      <c r="J521" s="18">
        <v>0</v>
      </c>
      <c r="K521" s="18">
        <v>1100.17</v>
      </c>
      <c r="L521" s="88">
        <f>SUM(F521:K521)</f>
        <v>167881.72000000003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133634.04</v>
      </c>
      <c r="I522" s="18">
        <v>0</v>
      </c>
      <c r="J522" s="18"/>
      <c r="K522" s="18">
        <v>0</v>
      </c>
      <c r="L522" s="88">
        <f>SUM(F522:K522)</f>
        <v>133634.04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288467.09999999998</v>
      </c>
      <c r="I523" s="18">
        <v>0</v>
      </c>
      <c r="J523" s="18">
        <v>0</v>
      </c>
      <c r="K523" s="18">
        <v>0</v>
      </c>
      <c r="L523" s="88">
        <f>SUM(F523:K523)</f>
        <v>288467.09999999998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127981</v>
      </c>
      <c r="G524" s="108">
        <f t="shared" ref="G524:L524" si="36">SUM(G521:G523)</f>
        <v>18073.509999999998</v>
      </c>
      <c r="H524" s="108">
        <f t="shared" si="36"/>
        <v>441167.69999999995</v>
      </c>
      <c r="I524" s="108">
        <f t="shared" si="36"/>
        <v>1660.48</v>
      </c>
      <c r="J524" s="108">
        <f t="shared" si="36"/>
        <v>0</v>
      </c>
      <c r="K524" s="108">
        <f t="shared" si="36"/>
        <v>1100.17</v>
      </c>
      <c r="L524" s="89">
        <f t="shared" si="36"/>
        <v>589982.86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0</v>
      </c>
      <c r="G526" s="18">
        <v>0</v>
      </c>
      <c r="H526" s="18">
        <v>94624</v>
      </c>
      <c r="I526" s="18">
        <v>1266.73</v>
      </c>
      <c r="J526" s="18">
        <v>0</v>
      </c>
      <c r="K526" s="18">
        <v>0</v>
      </c>
      <c r="L526" s="88">
        <f>SUM(F526:K526)</f>
        <v>95890.73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94624</v>
      </c>
      <c r="I529" s="89">
        <f t="shared" si="37"/>
        <v>1266.73</v>
      </c>
      <c r="J529" s="89">
        <f t="shared" si="37"/>
        <v>0</v>
      </c>
      <c r="K529" s="89">
        <f t="shared" si="37"/>
        <v>0</v>
      </c>
      <c r="L529" s="89">
        <f t="shared" si="37"/>
        <v>95890.73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4904.8500000000004</v>
      </c>
      <c r="G531" s="18">
        <v>1937.26</v>
      </c>
      <c r="H531" s="18"/>
      <c r="I531" s="18"/>
      <c r="J531" s="18"/>
      <c r="K531" s="18">
        <v>43.04</v>
      </c>
      <c r="L531" s="88">
        <f>SUM(F531:K531)</f>
        <v>6885.1500000000005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1939.13</v>
      </c>
      <c r="G532" s="18">
        <v>765.89</v>
      </c>
      <c r="H532" s="18"/>
      <c r="I532" s="18"/>
      <c r="J532" s="18"/>
      <c r="K532" s="18">
        <v>17.02</v>
      </c>
      <c r="L532" s="88">
        <f>SUM(F532:K532)</f>
        <v>2722.04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4562.66</v>
      </c>
      <c r="G533" s="18">
        <v>1802.1</v>
      </c>
      <c r="H533" s="18"/>
      <c r="I533" s="18"/>
      <c r="J533" s="18"/>
      <c r="K533" s="18">
        <v>40.04</v>
      </c>
      <c r="L533" s="88">
        <f>SUM(F533:K533)</f>
        <v>6404.8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11406.64</v>
      </c>
      <c r="G534" s="89">
        <f t="shared" ref="G534:L534" si="38">SUM(G531:G533)</f>
        <v>4505.25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100.1</v>
      </c>
      <c r="L534" s="89">
        <f t="shared" si="38"/>
        <v>16011.990000000002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337.65</v>
      </c>
      <c r="I536" s="18"/>
      <c r="J536" s="18"/>
      <c r="K536" s="18"/>
      <c r="L536" s="88">
        <f>SUM(F536:K536)</f>
        <v>337.65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131.75</v>
      </c>
      <c r="I537" s="18"/>
      <c r="J537" s="18"/>
      <c r="K537" s="18"/>
      <c r="L537" s="88">
        <f>SUM(F537:K537)</f>
        <v>131.75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310</v>
      </c>
      <c r="I538" s="18"/>
      <c r="J538" s="18"/>
      <c r="K538" s="18"/>
      <c r="L538" s="88">
        <f>SUM(F538:K538)</f>
        <v>310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779.4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779.4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1350</v>
      </c>
      <c r="I541" s="18"/>
      <c r="J541" s="18"/>
      <c r="K541" s="18"/>
      <c r="L541" s="88">
        <f>SUM(F541:K541)</f>
        <v>1350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249.64</v>
      </c>
      <c r="I542" s="18"/>
      <c r="J542" s="18"/>
      <c r="K542" s="18"/>
      <c r="L542" s="88">
        <f>SUM(F542:K542)</f>
        <v>249.64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53286</v>
      </c>
      <c r="I543" s="18"/>
      <c r="J543" s="18"/>
      <c r="K543" s="18"/>
      <c r="L543" s="88">
        <f>SUM(F543:K543)</f>
        <v>53286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54885.64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54885.64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139387.64000000001</v>
      </c>
      <c r="G545" s="89">
        <f t="shared" ref="G545:L545" si="41">G524+G529+G534+G539+G544</f>
        <v>22578.76</v>
      </c>
      <c r="H545" s="89">
        <f t="shared" si="41"/>
        <v>591456.74</v>
      </c>
      <c r="I545" s="89">
        <f t="shared" si="41"/>
        <v>2927.21</v>
      </c>
      <c r="J545" s="89">
        <f t="shared" si="41"/>
        <v>0</v>
      </c>
      <c r="K545" s="89">
        <f t="shared" si="41"/>
        <v>1200.27</v>
      </c>
      <c r="L545" s="89">
        <f t="shared" si="41"/>
        <v>757550.62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167881.72000000003</v>
      </c>
      <c r="G549" s="87">
        <f>L526</f>
        <v>95890.73</v>
      </c>
      <c r="H549" s="87">
        <f>L531</f>
        <v>6885.1500000000005</v>
      </c>
      <c r="I549" s="87">
        <f>L536</f>
        <v>337.65</v>
      </c>
      <c r="J549" s="87">
        <f>L541</f>
        <v>1350</v>
      </c>
      <c r="K549" s="87">
        <f>SUM(F549:J549)</f>
        <v>272345.25000000006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133634.04</v>
      </c>
      <c r="G550" s="87">
        <f>L527</f>
        <v>0</v>
      </c>
      <c r="H550" s="87">
        <f>L532</f>
        <v>2722.04</v>
      </c>
      <c r="I550" s="87">
        <f>L537</f>
        <v>131.75</v>
      </c>
      <c r="J550" s="87">
        <f>L542</f>
        <v>249.64</v>
      </c>
      <c r="K550" s="87">
        <f>SUM(F550:J550)</f>
        <v>136737.47000000003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288467.09999999998</v>
      </c>
      <c r="G551" s="87">
        <f>L528</f>
        <v>0</v>
      </c>
      <c r="H551" s="87">
        <f>L533</f>
        <v>6404.8</v>
      </c>
      <c r="I551" s="87">
        <f>L538</f>
        <v>310</v>
      </c>
      <c r="J551" s="87">
        <f>L543</f>
        <v>53286</v>
      </c>
      <c r="K551" s="87">
        <f>SUM(F551:J551)</f>
        <v>348467.89999999997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589982.86</v>
      </c>
      <c r="G552" s="89">
        <f t="shared" si="42"/>
        <v>95890.73</v>
      </c>
      <c r="H552" s="89">
        <f t="shared" si="42"/>
        <v>16011.990000000002</v>
      </c>
      <c r="I552" s="89">
        <f t="shared" si="42"/>
        <v>779.4</v>
      </c>
      <c r="J552" s="89">
        <f t="shared" si="42"/>
        <v>54885.64</v>
      </c>
      <c r="K552" s="89">
        <f t="shared" si="42"/>
        <v>757550.62000000011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308990.28000000003</v>
      </c>
      <c r="H575" s="18">
        <v>406144.08</v>
      </c>
      <c r="I575" s="87">
        <f>SUM(F575:H575)</f>
        <v>715134.3600000001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133634.04</v>
      </c>
      <c r="H579" s="18">
        <v>104520</v>
      </c>
      <c r="I579" s="87">
        <f t="shared" si="47"/>
        <v>238154.04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0</v>
      </c>
      <c r="G582" s="18">
        <v>0</v>
      </c>
      <c r="H582" s="18">
        <v>183947.1</v>
      </c>
      <c r="I582" s="87">
        <f t="shared" si="47"/>
        <v>183947.1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32854.6</v>
      </c>
      <c r="I591" s="18">
        <v>12989</v>
      </c>
      <c r="J591" s="18">
        <v>30562.400000000001</v>
      </c>
      <c r="K591" s="104">
        <f t="shared" ref="K591:K597" si="48">SUM(H591:J591)</f>
        <v>76406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1350</v>
      </c>
      <c r="I592" s="18">
        <v>249.64</v>
      </c>
      <c r="J592" s="18">
        <v>53286</v>
      </c>
      <c r="K592" s="104">
        <f t="shared" si="48"/>
        <v>54885.64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1312.85</v>
      </c>
      <c r="I595" s="18">
        <v>0</v>
      </c>
      <c r="J595" s="18">
        <v>0</v>
      </c>
      <c r="K595" s="104">
        <f t="shared" si="48"/>
        <v>1312.85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35517.449999999997</v>
      </c>
      <c r="I598" s="108">
        <f>SUM(I591:I597)</f>
        <v>13238.64</v>
      </c>
      <c r="J598" s="108">
        <f>SUM(J591:J597)</f>
        <v>83848.399999999994</v>
      </c>
      <c r="K598" s="108">
        <f>SUM(K591:K597)</f>
        <v>132604.49000000002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35751.01</v>
      </c>
      <c r="I604" s="18">
        <v>0</v>
      </c>
      <c r="J604" s="18">
        <v>0</v>
      </c>
      <c r="K604" s="104">
        <f>SUM(H604:J604)</f>
        <v>35751.01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35751.01</v>
      </c>
      <c r="I605" s="108">
        <f>SUM(I602:I604)</f>
        <v>0</v>
      </c>
      <c r="J605" s="108">
        <f>SUM(J602:J604)</f>
        <v>0</v>
      </c>
      <c r="K605" s="108">
        <f>SUM(K602:K604)</f>
        <v>35751.01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2625</v>
      </c>
      <c r="G611" s="18">
        <v>369.38</v>
      </c>
      <c r="H611" s="18">
        <v>330</v>
      </c>
      <c r="I611" s="18"/>
      <c r="J611" s="18"/>
      <c r="K611" s="18"/>
      <c r="L611" s="88">
        <f>SUM(F611:K611)</f>
        <v>3324.38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0</v>
      </c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2625</v>
      </c>
      <c r="G614" s="108">
        <f t="shared" si="49"/>
        <v>369.38</v>
      </c>
      <c r="H614" s="108">
        <f t="shared" si="49"/>
        <v>330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3324.38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246308.44999999998</v>
      </c>
      <c r="H617" s="109">
        <f>SUM(F52)</f>
        <v>246308.45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-1.1368683772161603E-13</v>
      </c>
      <c r="H618" s="109">
        <f>SUM(G52)</f>
        <v>0</v>
      </c>
      <c r="I618" s="121" t="s">
        <v>891</v>
      </c>
      <c r="J618" s="109">
        <f>G618-H618</f>
        <v>-1.1368683772161603E-13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374</v>
      </c>
      <c r="H619" s="109">
        <f>SUM(H52)</f>
        <v>374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437798.15</v>
      </c>
      <c r="H621" s="109">
        <f>SUM(J52)</f>
        <v>437798.15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227196.17</v>
      </c>
      <c r="H622" s="109">
        <f>F476</f>
        <v>227196.16999999993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374</v>
      </c>
      <c r="H624" s="109">
        <f>H476</f>
        <v>374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437798.15</v>
      </c>
      <c r="H626" s="109">
        <f>J476</f>
        <v>437798.14999999997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2445402.89</v>
      </c>
      <c r="H627" s="104">
        <f>SUM(F468)</f>
        <v>2445402.89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43793.11</v>
      </c>
      <c r="H628" s="104">
        <f>SUM(G468)</f>
        <v>43793.11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47700.979999999996</v>
      </c>
      <c r="H629" s="104">
        <f>SUM(H468)</f>
        <v>47700.98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564.87</v>
      </c>
      <c r="H631" s="104">
        <f>SUM(J468)</f>
        <v>564.87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2487046.9500000002</v>
      </c>
      <c r="H632" s="104">
        <f>SUM(F472)</f>
        <v>2487046.9500000002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47826.98</v>
      </c>
      <c r="H633" s="104">
        <f>SUM(H472)</f>
        <v>47826.98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187.5</v>
      </c>
      <c r="H634" s="104">
        <f>I369</f>
        <v>187.5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46379.759999999995</v>
      </c>
      <c r="H635" s="104">
        <f>SUM(G472)</f>
        <v>46379.76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564.87</v>
      </c>
      <c r="H637" s="164">
        <f>SUM(J468)</f>
        <v>564.87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437798.15</v>
      </c>
      <c r="H640" s="104">
        <f>SUM(G461)</f>
        <v>437798.15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437798.15</v>
      </c>
      <c r="H642" s="104">
        <f>SUM(I461)</f>
        <v>437798.15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564.87</v>
      </c>
      <c r="H644" s="104">
        <f>H408</f>
        <v>564.87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564.87</v>
      </c>
      <c r="H646" s="104">
        <f>L408</f>
        <v>564.87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132604.49000000002</v>
      </c>
      <c r="H647" s="104">
        <f>L208+L226+L244</f>
        <v>132604.49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35751.01</v>
      </c>
      <c r="H648" s="104">
        <f>(J257+J338)-(J255+J336)</f>
        <v>35751.01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35517.449999999997</v>
      </c>
      <c r="H649" s="104">
        <f>H598</f>
        <v>35517.449999999997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13238.64</v>
      </c>
      <c r="H650" s="104">
        <f>I598</f>
        <v>13238.64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83848.399999999994</v>
      </c>
      <c r="H651" s="104">
        <f>J598</f>
        <v>83848.399999999994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1251517.8999999999</v>
      </c>
      <c r="G660" s="19">
        <f>(L229+L309+L359)</f>
        <v>480232.91000000009</v>
      </c>
      <c r="H660" s="19">
        <f>(L247+L328+L360)</f>
        <v>849502.88</v>
      </c>
      <c r="I660" s="19">
        <f>SUM(F660:H660)</f>
        <v>2581253.69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11668.89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11668.89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35517.449999999997</v>
      </c>
      <c r="G662" s="19">
        <f>(L226+L306)-(J226+J306)</f>
        <v>13238.64</v>
      </c>
      <c r="H662" s="19">
        <f>(L244+L325)-(J244+J325)</f>
        <v>83848.399999999994</v>
      </c>
      <c r="I662" s="19">
        <f>SUM(F662:H662)</f>
        <v>132604.49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39075.39</v>
      </c>
      <c r="G663" s="199">
        <f>SUM(G575:G587)+SUM(I602:I604)+L612</f>
        <v>442624.32000000007</v>
      </c>
      <c r="H663" s="199">
        <f>SUM(H575:H587)+SUM(J602:J604)+L613</f>
        <v>694611.18</v>
      </c>
      <c r="I663" s="19">
        <f>SUM(F663:H663)</f>
        <v>1176310.8900000001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1165256.17</v>
      </c>
      <c r="G664" s="19">
        <f>G660-SUM(G661:G663)</f>
        <v>24369.950000000012</v>
      </c>
      <c r="H664" s="19">
        <f>H660-SUM(H661:H663)</f>
        <v>71043.29999999993</v>
      </c>
      <c r="I664" s="19">
        <f>I660-SUM(I661:I663)</f>
        <v>1260669.42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83.55</v>
      </c>
      <c r="G665" s="248"/>
      <c r="H665" s="248"/>
      <c r="I665" s="19">
        <f>SUM(F665:H665)</f>
        <v>83.55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13946.81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15088.8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-24369.95</v>
      </c>
      <c r="H669" s="18">
        <v>-71043.3</v>
      </c>
      <c r="I669" s="19">
        <f>SUM(F669:H669)</f>
        <v>-95413.25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13946.81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13946.81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7" sqref="F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STODDARD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280420.67</v>
      </c>
      <c r="C9" s="229">
        <f>'DOE25'!G197+'DOE25'!G215+'DOE25'!G233+'DOE25'!G276+'DOE25'!G295+'DOE25'!G314</f>
        <v>92819.25</v>
      </c>
    </row>
    <row r="10" spans="1:3" x14ac:dyDescent="0.2">
      <c r="A10" t="s">
        <v>778</v>
      </c>
      <c r="B10" s="240">
        <v>200165.77</v>
      </c>
      <c r="C10" s="240">
        <v>87780.49</v>
      </c>
    </row>
    <row r="11" spans="1:3" x14ac:dyDescent="0.2">
      <c r="A11" t="s">
        <v>779</v>
      </c>
      <c r="B11" s="240">
        <v>76162</v>
      </c>
      <c r="C11" s="240">
        <v>4725.6000000000004</v>
      </c>
    </row>
    <row r="12" spans="1:3" x14ac:dyDescent="0.2">
      <c r="A12" t="s">
        <v>780</v>
      </c>
      <c r="B12" s="240">
        <v>4092.9</v>
      </c>
      <c r="C12" s="240">
        <v>313.16000000000003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280420.67000000004</v>
      </c>
      <c r="C13" s="231">
        <f>SUM(C10:C12)</f>
        <v>92819.250000000015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127981</v>
      </c>
      <c r="C18" s="229">
        <f>'DOE25'!G198+'DOE25'!G216+'DOE25'!G234+'DOE25'!G277+'DOE25'!G296+'DOE25'!G315</f>
        <v>18073.509999999998</v>
      </c>
    </row>
    <row r="19" spans="1:3" x14ac:dyDescent="0.2">
      <c r="A19" t="s">
        <v>778</v>
      </c>
      <c r="B19" s="240">
        <v>76125</v>
      </c>
      <c r="C19" s="240">
        <v>14106.5</v>
      </c>
    </row>
    <row r="20" spans="1:3" x14ac:dyDescent="0.2">
      <c r="A20" t="s">
        <v>779</v>
      </c>
      <c r="B20" s="240">
        <v>51856</v>
      </c>
      <c r="C20" s="240">
        <v>3967.01</v>
      </c>
    </row>
    <row r="21" spans="1:3" x14ac:dyDescent="0.2">
      <c r="A21" t="s">
        <v>780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127981</v>
      </c>
      <c r="C22" s="231">
        <f>SUM(C19:C21)</f>
        <v>18073.510000000002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STODDARD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1693619.4200000002</v>
      </c>
      <c r="D5" s="20">
        <f>SUM('DOE25'!L197:L200)+SUM('DOE25'!L215:L218)+SUM('DOE25'!L233:L236)-F5-G5</f>
        <v>1677838.84</v>
      </c>
      <c r="E5" s="243"/>
      <c r="F5" s="255">
        <f>SUM('DOE25'!J197:J200)+SUM('DOE25'!J215:J218)+SUM('DOE25'!J233:J236)</f>
        <v>11534.59</v>
      </c>
      <c r="G5" s="53">
        <f>SUM('DOE25'!K197:K200)+SUM('DOE25'!K215:K218)+SUM('DOE25'!K233:K236)</f>
        <v>4245.99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131302.63999999998</v>
      </c>
      <c r="D6" s="20">
        <f>'DOE25'!L202+'DOE25'!L220+'DOE25'!L238-F6-G6</f>
        <v>131302.63999999998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44944.069999999992</v>
      </c>
      <c r="D7" s="20">
        <f>'DOE25'!L203+'DOE25'!L221+'DOE25'!L239-F7-G7</f>
        <v>25358.709999999992</v>
      </c>
      <c r="E7" s="243"/>
      <c r="F7" s="255">
        <f>'DOE25'!J203+'DOE25'!J221+'DOE25'!J239</f>
        <v>19097.66</v>
      </c>
      <c r="G7" s="53">
        <f>'DOE25'!K203+'DOE25'!K221+'DOE25'!K239</f>
        <v>487.7</v>
      </c>
      <c r="H7" s="259"/>
    </row>
    <row r="8" spans="1:9" x14ac:dyDescent="0.2">
      <c r="A8" s="32">
        <v>2300</v>
      </c>
      <c r="B8" t="s">
        <v>801</v>
      </c>
      <c r="C8" s="245">
        <f t="shared" si="0"/>
        <v>99356.73000000001</v>
      </c>
      <c r="D8" s="243"/>
      <c r="E8" s="20">
        <f>'DOE25'!L204+'DOE25'!L222+'DOE25'!L240-F8-G8-D9-D11</f>
        <v>95614.890000000014</v>
      </c>
      <c r="F8" s="255">
        <f>'DOE25'!J204+'DOE25'!J222+'DOE25'!J240</f>
        <v>0</v>
      </c>
      <c r="G8" s="53">
        <f>'DOE25'!K204+'DOE25'!K222+'DOE25'!K240</f>
        <v>3741.84</v>
      </c>
      <c r="H8" s="259"/>
    </row>
    <row r="9" spans="1:9" x14ac:dyDescent="0.2">
      <c r="A9" s="32">
        <v>2310</v>
      </c>
      <c r="B9" t="s">
        <v>817</v>
      </c>
      <c r="C9" s="245">
        <f t="shared" si="0"/>
        <v>15177.63</v>
      </c>
      <c r="D9" s="244">
        <v>15177.63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4150</v>
      </c>
      <c r="D10" s="243"/>
      <c r="E10" s="244">
        <v>4150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45918.239999999998</v>
      </c>
      <c r="D11" s="244">
        <v>45918.239999999998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156902.97</v>
      </c>
      <c r="D12" s="20">
        <f>'DOE25'!L205+'DOE25'!L223+'DOE25'!L241-F12-G12</f>
        <v>156047.97</v>
      </c>
      <c r="E12" s="243"/>
      <c r="F12" s="255">
        <f>'DOE25'!J205+'DOE25'!J223+'DOE25'!J241</f>
        <v>0</v>
      </c>
      <c r="G12" s="53">
        <f>'DOE25'!K205+'DOE25'!K223+'DOE25'!K241</f>
        <v>855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167220.76</v>
      </c>
      <c r="D14" s="20">
        <f>'DOE25'!L207+'DOE25'!L225+'DOE25'!L243-F14-G14</f>
        <v>162102</v>
      </c>
      <c r="E14" s="243"/>
      <c r="F14" s="255">
        <f>'DOE25'!J207+'DOE25'!J225+'DOE25'!J243</f>
        <v>5118.76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132604.49</v>
      </c>
      <c r="D15" s="20">
        <f>'DOE25'!L208+'DOE25'!L226+'DOE25'!L244-F15-G15</f>
        <v>132604.49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46192.259999999995</v>
      </c>
      <c r="D29" s="20">
        <f>'DOE25'!L358+'DOE25'!L359+'DOE25'!L360-'DOE25'!I367-F29-G29</f>
        <v>46192.259999999995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47826.98</v>
      </c>
      <c r="D31" s="20">
        <f>'DOE25'!L290+'DOE25'!L309+'DOE25'!L328+'DOE25'!L333+'DOE25'!L334+'DOE25'!L335-F31-G31</f>
        <v>40303.29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7523.6900000000005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2432846.0699999994</v>
      </c>
      <c r="E33" s="246">
        <f>SUM(E5:E31)</f>
        <v>99764.890000000014</v>
      </c>
      <c r="F33" s="246">
        <f>SUM(F5:F31)</f>
        <v>35751.01</v>
      </c>
      <c r="G33" s="246">
        <f>SUM(G5:G31)</f>
        <v>16854.22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99764.890000000014</v>
      </c>
      <c r="E35" s="249"/>
    </row>
    <row r="36" spans="2:8" ht="12" thickTop="1" x14ac:dyDescent="0.2">
      <c r="B36" t="s">
        <v>814</v>
      </c>
      <c r="D36" s="20">
        <f>D33</f>
        <v>2432846.0699999994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246191.9</v>
      </c>
      <c r="D8" s="95">
        <f>'DOE25'!G9</f>
        <v>-2327.65</v>
      </c>
      <c r="E8" s="95">
        <f>'DOE25'!H9</f>
        <v>-2508.46</v>
      </c>
      <c r="F8" s="95">
        <f>'DOE25'!I9</f>
        <v>0</v>
      </c>
      <c r="G8" s="95">
        <f>'DOE25'!J9</f>
        <v>437798.15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1370.29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89.05</v>
      </c>
      <c r="D12" s="95">
        <f>'DOE25'!G13</f>
        <v>957.36</v>
      </c>
      <c r="E12" s="95">
        <f>'DOE25'!H13</f>
        <v>2882.46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246308.44999999998</v>
      </c>
      <c r="D18" s="41">
        <f>SUM(D8:D17)</f>
        <v>-1.1368683772161603E-13</v>
      </c>
      <c r="E18" s="41">
        <f>SUM(E8:E17)</f>
        <v>374</v>
      </c>
      <c r="F18" s="41">
        <f>SUM(F8:F17)</f>
        <v>0</v>
      </c>
      <c r="G18" s="41">
        <f>SUM(G8:G17)</f>
        <v>437798.15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1370.29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14746.13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695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2300.86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19112.28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374</v>
      </c>
      <c r="F47" s="95">
        <f>'DOE25'!I48</f>
        <v>0</v>
      </c>
      <c r="G47" s="95">
        <f>'DOE25'!J48</f>
        <v>437798.15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227196.17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227196.17</v>
      </c>
      <c r="D50" s="41">
        <f>SUM(D34:D49)</f>
        <v>0</v>
      </c>
      <c r="E50" s="41">
        <f>SUM(E34:E49)</f>
        <v>374</v>
      </c>
      <c r="F50" s="41">
        <f>SUM(F34:F49)</f>
        <v>0</v>
      </c>
      <c r="G50" s="41">
        <f>SUM(G34:G49)</f>
        <v>437798.15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246308.45</v>
      </c>
      <c r="D51" s="41">
        <f>D50+D31</f>
        <v>0</v>
      </c>
      <c r="E51" s="41">
        <f>E50+E31</f>
        <v>374</v>
      </c>
      <c r="F51" s="41">
        <f>F50+F31</f>
        <v>0</v>
      </c>
      <c r="G51" s="41">
        <f>G50+G31</f>
        <v>437798.15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1703692</v>
      </c>
      <c r="D56" s="95">
        <f>'DOE25'!G60</f>
        <v>18000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564.87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11668.89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7058.89</v>
      </c>
      <c r="D61" s="95">
        <f>SUM('DOE25'!G98:G110)</f>
        <v>0</v>
      </c>
      <c r="E61" s="95">
        <f>SUM('DOE25'!H98:H110)</f>
        <v>29097.3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7058.89</v>
      </c>
      <c r="D62" s="130">
        <f>SUM(D57:D61)</f>
        <v>11668.89</v>
      </c>
      <c r="E62" s="130">
        <f>SUM(E57:E61)</f>
        <v>29097.3</v>
      </c>
      <c r="F62" s="130">
        <f>SUM(F57:F61)</f>
        <v>0</v>
      </c>
      <c r="G62" s="130">
        <f>SUM(G57:G61)</f>
        <v>564.87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1710750.89</v>
      </c>
      <c r="D63" s="22">
        <f>D56+D62</f>
        <v>29668.89</v>
      </c>
      <c r="E63" s="22">
        <f>E56+E62</f>
        <v>29097.3</v>
      </c>
      <c r="F63" s="22">
        <f>F56+F62</f>
        <v>0</v>
      </c>
      <c r="G63" s="22">
        <f>G56+G62</f>
        <v>564.87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65453.41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588201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22879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676533.41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46121.72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385.68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46121.72</v>
      </c>
      <c r="D78" s="130">
        <f>SUM(D72:D77)</f>
        <v>385.68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722655.13</v>
      </c>
      <c r="D81" s="130">
        <f>SUM(D79:D80)+D78+D70</f>
        <v>385.68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11996.87</v>
      </c>
      <c r="D88" s="95">
        <f>SUM('DOE25'!G153:G161)</f>
        <v>13738.54</v>
      </c>
      <c r="E88" s="95">
        <f>SUM('DOE25'!H153:H161)</f>
        <v>18603.68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11996.87</v>
      </c>
      <c r="D91" s="131">
        <f>SUM(D85:D90)</f>
        <v>13738.54</v>
      </c>
      <c r="E91" s="131">
        <f>SUM(E85:E90)</f>
        <v>18603.68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2445402.89</v>
      </c>
      <c r="D104" s="86">
        <f>D63+D81+D91+D103</f>
        <v>43793.11</v>
      </c>
      <c r="E104" s="86">
        <f>E63+E81+E91+E103</f>
        <v>47700.979999999996</v>
      </c>
      <c r="F104" s="86">
        <f>F63+F81+F91+F103</f>
        <v>0</v>
      </c>
      <c r="G104" s="86">
        <f>G63+G81+G103</f>
        <v>564.87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1093152.4500000002</v>
      </c>
      <c r="D109" s="24" t="s">
        <v>288</v>
      </c>
      <c r="E109" s="95">
        <f>('DOE25'!L276)+('DOE25'!L295)+('DOE25'!L314)</f>
        <v>44868.780000000006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600466.97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1693619.4200000002</v>
      </c>
      <c r="D115" s="86">
        <f>SUM(D109:D114)</f>
        <v>0</v>
      </c>
      <c r="E115" s="86">
        <f>SUM(E109:E114)</f>
        <v>44868.780000000006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131302.63999999998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44944.069999999992</v>
      </c>
      <c r="D119" s="24" t="s">
        <v>288</v>
      </c>
      <c r="E119" s="95">
        <f>+('DOE25'!L282)+('DOE25'!L301)+('DOE25'!L320)</f>
        <v>2829.3100000000004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160452.6</v>
      </c>
      <c r="D120" s="24" t="s">
        <v>288</v>
      </c>
      <c r="E120" s="95">
        <f>+('DOE25'!L283)+('DOE25'!L302)+('DOE25'!L321)</f>
        <v>128.88999999999999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156902.97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167220.76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132604.49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46379.759999999995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793427.52999999991</v>
      </c>
      <c r="D128" s="86">
        <f>SUM(D118:D127)</f>
        <v>46379.759999999995</v>
      </c>
      <c r="E128" s="86">
        <f>SUM(E118:E127)</f>
        <v>2958.2000000000003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564.87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-564.87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2487046.9500000002</v>
      </c>
      <c r="D145" s="86">
        <f>(D115+D128+D144)</f>
        <v>46379.759999999995</v>
      </c>
      <c r="E145" s="86">
        <f>(E115+E128+E144)</f>
        <v>47826.98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STODDARD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13947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13947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1138021</v>
      </c>
      <c r="D10" s="182">
        <f>ROUND((C10/$C$28)*100,1)</f>
        <v>44.3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600467</v>
      </c>
      <c r="D11" s="182">
        <f>ROUND((C11/$C$28)*100,1)</f>
        <v>23.4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131303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47773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160581</v>
      </c>
      <c r="D17" s="182">
        <f t="shared" si="0"/>
        <v>6.2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156903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167221</v>
      </c>
      <c r="D20" s="182">
        <f t="shared" si="0"/>
        <v>6.5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132604</v>
      </c>
      <c r="D21" s="182">
        <f t="shared" si="0"/>
        <v>5.2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34711.11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2569584.11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2569584.11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1721692</v>
      </c>
      <c r="D35" s="182">
        <f t="shared" ref="D35:D40" si="1">ROUND((C35/$C$41)*100,1)</f>
        <v>68.2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36721.060000000056</v>
      </c>
      <c r="D36" s="182">
        <f t="shared" si="1"/>
        <v>1.5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653654</v>
      </c>
      <c r="D37" s="182">
        <f t="shared" si="1"/>
        <v>25.9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69386</v>
      </c>
      <c r="D38" s="182">
        <f t="shared" si="1"/>
        <v>2.7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44339</v>
      </c>
      <c r="D39" s="182">
        <f t="shared" si="1"/>
        <v>1.8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2525792.06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STODDARD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2017-10-11T18:59:59Z</cp:lastPrinted>
  <dcterms:created xsi:type="dcterms:W3CDTF">1997-12-04T19:04:30Z</dcterms:created>
  <dcterms:modified xsi:type="dcterms:W3CDTF">2017-11-29T18:06:31Z</dcterms:modified>
</cp:coreProperties>
</file>