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4000" windowHeight="97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611" i="1" l="1"/>
  <c r="H611" i="1"/>
  <c r="F611" i="1"/>
  <c r="G611" i="1"/>
  <c r="H582" i="1"/>
  <c r="F582" i="1"/>
  <c r="H575" i="1"/>
  <c r="F575" i="1"/>
  <c r="H581" i="1" l="1"/>
  <c r="H528" i="1"/>
  <c r="H526" i="1"/>
  <c r="F13" i="1"/>
  <c r="F9" i="1"/>
  <c r="G12" i="1"/>
  <c r="D9" i="13" l="1"/>
  <c r="B21" i="12"/>
  <c r="B12" i="12"/>
  <c r="H207" i="1"/>
  <c r="F472" i="1"/>
  <c r="G472" i="1"/>
  <c r="F502" i="1"/>
  <c r="F498" i="1"/>
  <c r="F4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9" i="1"/>
  <c r="L200" i="1"/>
  <c r="L215" i="1"/>
  <c r="L216" i="1"/>
  <c r="L217" i="1"/>
  <c r="L229" i="1" s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C119" i="2" s="1"/>
  <c r="F12" i="13"/>
  <c r="G12" i="13"/>
  <c r="L205" i="1"/>
  <c r="L223" i="1"/>
  <c r="L241" i="1"/>
  <c r="C121" i="2" s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D29" i="13" s="1"/>
  <c r="C29" i="13" s="1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3" i="10"/>
  <c r="C16" i="10"/>
  <c r="C20" i="10"/>
  <c r="L250" i="1"/>
  <c r="L332" i="1"/>
  <c r="L254" i="1"/>
  <c r="L268" i="1"/>
  <c r="C142" i="2" s="1"/>
  <c r="L269" i="1"/>
  <c r="L349" i="1"/>
  <c r="L350" i="1"/>
  <c r="I665" i="1"/>
  <c r="I670" i="1"/>
  <c r="G661" i="1"/>
  <c r="G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E112" i="2"/>
  <c r="C113" i="2"/>
  <c r="E113" i="2"/>
  <c r="C114" i="2"/>
  <c r="D115" i="2"/>
  <c r="F115" i="2"/>
  <c r="G115" i="2"/>
  <c r="E119" i="2"/>
  <c r="E120" i="2"/>
  <c r="E121" i="2"/>
  <c r="E123" i="2"/>
  <c r="E124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H183" i="1"/>
  <c r="I183" i="1"/>
  <c r="J183" i="1"/>
  <c r="J192" i="1" s="1"/>
  <c r="F188" i="1"/>
  <c r="G188" i="1"/>
  <c r="H188" i="1"/>
  <c r="I188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G257" i="1" s="1"/>
  <c r="G271" i="1" s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H408" i="1" s="1"/>
  <c r="H644" i="1" s="1"/>
  <c r="J644" i="1" s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H640" i="1"/>
  <c r="G641" i="1"/>
  <c r="H641" i="1"/>
  <c r="J641" i="1" s="1"/>
  <c r="G643" i="1"/>
  <c r="H643" i="1"/>
  <c r="J643" i="1" s="1"/>
  <c r="G644" i="1"/>
  <c r="G650" i="1"/>
  <c r="G651" i="1"/>
  <c r="H652" i="1"/>
  <c r="G653" i="1"/>
  <c r="H653" i="1"/>
  <c r="G654" i="1"/>
  <c r="H654" i="1"/>
  <c r="H655" i="1"/>
  <c r="F192" i="1"/>
  <c r="L328" i="1"/>
  <c r="D62" i="2"/>
  <c r="D63" i="2" s="1"/>
  <c r="C91" i="2"/>
  <c r="F78" i="2"/>
  <c r="C78" i="2"/>
  <c r="D50" i="2"/>
  <c r="G62" i="2"/>
  <c r="D19" i="13"/>
  <c r="C19" i="13" s="1"/>
  <c r="E78" i="2"/>
  <c r="H112" i="1"/>
  <c r="L419" i="1"/>
  <c r="I169" i="1"/>
  <c r="J476" i="1"/>
  <c r="H626" i="1" s="1"/>
  <c r="H476" i="1"/>
  <c r="H624" i="1" s="1"/>
  <c r="J624" i="1" s="1"/>
  <c r="G338" i="1"/>
  <c r="G352" i="1" s="1"/>
  <c r="J140" i="1"/>
  <c r="G22" i="2"/>
  <c r="H140" i="1"/>
  <c r="F22" i="13"/>
  <c r="C22" i="13" s="1"/>
  <c r="J640" i="1"/>
  <c r="H338" i="1"/>
  <c r="H352" i="1" s="1"/>
  <c r="F338" i="1"/>
  <c r="F352" i="1" s="1"/>
  <c r="H192" i="1"/>
  <c r="J655" i="1"/>
  <c r="L570" i="1"/>
  <c r="I571" i="1"/>
  <c r="G36" i="2"/>
  <c r="J552" i="1" l="1"/>
  <c r="L534" i="1"/>
  <c r="H552" i="1"/>
  <c r="J545" i="1"/>
  <c r="G552" i="1"/>
  <c r="H545" i="1"/>
  <c r="L524" i="1"/>
  <c r="F552" i="1"/>
  <c r="K551" i="1"/>
  <c r="K550" i="1"/>
  <c r="K545" i="1"/>
  <c r="I545" i="1"/>
  <c r="G545" i="1"/>
  <c r="K549" i="1"/>
  <c r="J617" i="1"/>
  <c r="C18" i="2"/>
  <c r="D18" i="2"/>
  <c r="A31" i="12"/>
  <c r="C123" i="2"/>
  <c r="F476" i="1"/>
  <c r="H622" i="1" s="1"/>
  <c r="J622" i="1" s="1"/>
  <c r="G476" i="1"/>
  <c r="H623" i="1" s="1"/>
  <c r="J623" i="1" s="1"/>
  <c r="J651" i="1"/>
  <c r="K598" i="1"/>
  <c r="G647" i="1" s="1"/>
  <c r="J634" i="1"/>
  <c r="L362" i="1"/>
  <c r="G635" i="1" s="1"/>
  <c r="J635" i="1" s="1"/>
  <c r="H661" i="1"/>
  <c r="C26" i="10"/>
  <c r="C132" i="2"/>
  <c r="C118" i="2"/>
  <c r="D14" i="13"/>
  <c r="C14" i="13" s="1"/>
  <c r="C21" i="10"/>
  <c r="C122" i="2"/>
  <c r="L247" i="1"/>
  <c r="H660" i="1" s="1"/>
  <c r="K257" i="1"/>
  <c r="K271" i="1" s="1"/>
  <c r="J257" i="1"/>
  <c r="J271" i="1" s="1"/>
  <c r="I257" i="1"/>
  <c r="I271" i="1" s="1"/>
  <c r="C12" i="10"/>
  <c r="H257" i="1"/>
  <c r="H271" i="1" s="1"/>
  <c r="C18" i="10"/>
  <c r="E16" i="13"/>
  <c r="C16" i="13" s="1"/>
  <c r="C17" i="10"/>
  <c r="A13" i="12"/>
  <c r="C10" i="10"/>
  <c r="C70" i="2"/>
  <c r="C81" i="2" s="1"/>
  <c r="F112" i="1"/>
  <c r="G645" i="1"/>
  <c r="J645" i="1"/>
  <c r="L270" i="1"/>
  <c r="L401" i="1"/>
  <c r="C139" i="2" s="1"/>
  <c r="I446" i="1"/>
  <c r="G642" i="1" s="1"/>
  <c r="J642" i="1" s="1"/>
  <c r="J639" i="1"/>
  <c r="E128" i="2"/>
  <c r="E13" i="13"/>
  <c r="C13" i="13" s="1"/>
  <c r="E8" i="13"/>
  <c r="C8" i="13" s="1"/>
  <c r="D12" i="13"/>
  <c r="C12" i="13" s="1"/>
  <c r="L290" i="1"/>
  <c r="L539" i="1"/>
  <c r="K503" i="1"/>
  <c r="L382" i="1"/>
  <c r="G636" i="1" s="1"/>
  <c r="J636" i="1" s="1"/>
  <c r="K352" i="1"/>
  <c r="E109" i="2"/>
  <c r="E115" i="2" s="1"/>
  <c r="E145" i="2" s="1"/>
  <c r="C62" i="2"/>
  <c r="F661" i="1"/>
  <c r="C19" i="10"/>
  <c r="C15" i="10"/>
  <c r="G112" i="1"/>
  <c r="C36" i="10" s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I662" i="1" s="1"/>
  <c r="H25" i="13"/>
  <c r="E81" i="2"/>
  <c r="F81" i="2"/>
  <c r="L351" i="1"/>
  <c r="H647" i="1"/>
  <c r="G625" i="1"/>
  <c r="J625" i="1" s="1"/>
  <c r="L614" i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I140" i="1"/>
  <c r="I193" i="1" s="1"/>
  <c r="G630" i="1" s="1"/>
  <c r="J630" i="1" s="1"/>
  <c r="G50" i="2"/>
  <c r="G51" i="2" s="1"/>
  <c r="H648" i="1"/>
  <c r="J648" i="1" s="1"/>
  <c r="G571" i="1"/>
  <c r="I434" i="1"/>
  <c r="G434" i="1"/>
  <c r="E104" i="2"/>
  <c r="I663" i="1"/>
  <c r="C27" i="10"/>
  <c r="K552" i="1" l="1"/>
  <c r="J647" i="1"/>
  <c r="I661" i="1"/>
  <c r="H664" i="1"/>
  <c r="H672" i="1" s="1"/>
  <c r="C6" i="10" s="1"/>
  <c r="G667" i="1"/>
  <c r="C128" i="2"/>
  <c r="G104" i="2"/>
  <c r="L408" i="1"/>
  <c r="C141" i="2"/>
  <c r="C144" i="2" s="1"/>
  <c r="E33" i="13"/>
  <c r="D35" i="13" s="1"/>
  <c r="L545" i="1"/>
  <c r="C25" i="13"/>
  <c r="H33" i="13"/>
  <c r="C63" i="2"/>
  <c r="C104" i="2" s="1"/>
  <c r="C51" i="2"/>
  <c r="G631" i="1"/>
  <c r="J631" i="1" s="1"/>
  <c r="G626" i="1"/>
  <c r="J626" i="1" s="1"/>
  <c r="J52" i="1"/>
  <c r="H621" i="1" s="1"/>
  <c r="J621" i="1" s="1"/>
  <c r="C38" i="10"/>
  <c r="H667" i="1" l="1"/>
  <c r="G637" i="1"/>
  <c r="J637" i="1" s="1"/>
  <c r="H646" i="1"/>
  <c r="J646" i="1" s="1"/>
  <c r="C41" i="10"/>
  <c r="D38" i="10" s="1"/>
  <c r="D37" i="10" l="1"/>
  <c r="D36" i="10"/>
  <c r="D35" i="10"/>
  <c r="D40" i="10"/>
  <c r="D39" i="10"/>
  <c r="D41" i="10" l="1"/>
  <c r="B18" i="12"/>
  <c r="A22" i="12" s="1"/>
  <c r="F211" i="1"/>
  <c r="F257" i="1"/>
  <c r="F271" i="1" s="1"/>
  <c r="L198" i="1"/>
  <c r="C11" i="10" s="1"/>
  <c r="D5" i="13" l="1"/>
  <c r="C5" i="13" s="1"/>
  <c r="L211" i="1"/>
  <c r="C110" i="2"/>
  <c r="C115" i="2" s="1"/>
  <c r="C145" i="2" s="1"/>
  <c r="C28" i="10"/>
  <c r="D11" i="10" s="1"/>
  <c r="D33" i="13" l="1"/>
  <c r="D36" i="13" s="1"/>
  <c r="L257" i="1"/>
  <c r="L271" i="1" s="1"/>
  <c r="G632" i="1" s="1"/>
  <c r="F660" i="1"/>
  <c r="D22" i="10"/>
  <c r="D12" i="10"/>
  <c r="D27" i="10"/>
  <c r="D13" i="10"/>
  <c r="D15" i="10"/>
  <c r="D10" i="10"/>
  <c r="C30" i="10"/>
  <c r="D25" i="10"/>
  <c r="D20" i="10"/>
  <c r="D21" i="10"/>
  <c r="D23" i="10"/>
  <c r="D17" i="10"/>
  <c r="D26" i="10"/>
  <c r="D19" i="10"/>
  <c r="D16" i="10"/>
  <c r="D18" i="10"/>
  <c r="D24" i="10"/>
  <c r="I660" i="1" l="1"/>
  <c r="I664" i="1" s="1"/>
  <c r="F664" i="1"/>
  <c r="J632" i="1"/>
  <c r="D28" i="10"/>
  <c r="I667" i="1" l="1"/>
  <c r="I672" i="1"/>
  <c r="C7" i="10" s="1"/>
  <c r="F672" i="1"/>
  <c r="C4" i="10" s="1"/>
  <c r="F667" i="1"/>
  <c r="G652" i="1"/>
  <c r="J652" i="1" s="1"/>
  <c r="G183" i="1"/>
  <c r="G192" i="1" s="1"/>
  <c r="G193" i="1" s="1"/>
  <c r="G628" i="1" s="1"/>
  <c r="D96" i="2"/>
  <c r="D103" i="2"/>
  <c r="D104" i="2" s="1"/>
  <c r="H656" i="1" l="1"/>
  <c r="J628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<sst xmlns="http://schemas.openxmlformats.org/spreadsheetml/2006/main" count="3957" uniqueCount="915">
  <si>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</si>
  <si>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</si>
  <si>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</si>
  <si>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</si>
  <si>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</si>
  <si>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</si>
  <si>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</si>
  <si>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</si>
  <si>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</si>
  <si>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</si>
  <si>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</si>
  <si>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</si>
  <si>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</si>
  <si>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</si>
  <si>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</si>
  <si>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</si>
  <si>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</si>
  <si>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</si>
  <si>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</si>
  <si>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</si>
  <si>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</si>
  <si>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</si>
  <si>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</si>
  <si>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</si>
  <si>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</si>
  <si>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</si>
  <si>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</si>
  <si>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</si>
  <si>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</si>
  <si>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</si>
  <si>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</si>
  <si>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</si>
  <si>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</si>
  <si>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</si>
  <si>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</si>
  <si>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</si>
  <si>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</si>
  <si>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</si>
  <si>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</si>
  <si>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</si>
  <si>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</si>
  <si>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</si>
  <si>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</si>
  <si>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</si>
  <si>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</si>
  <si>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</si>
  <si>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</si>
  <si>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</si>
  <si>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</si>
  <si>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</si>
  <si>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</si>
  <si>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</si>
  <si>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</si>
  <si>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</si>
  <si>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</si>
  <si>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</si>
  <si>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</si>
  <si>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</si>
  <si>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</si>
  <si>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</si>
  <si>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</si>
  <si>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</si>
  <si>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</si>
  <si>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</si>
  <si>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</si>
  <si>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</si>
  <si>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</si>
  <si>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</si>
  <si>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</si>
  <si>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</si>
  <si>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</si>
  <si>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</si>
  <si>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</si>
  <si>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</si>
  <si>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</si>
  <si>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</si>
  <si>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</si>
  <si>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</si>
  <si>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</si>
  <si>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</si>
  <si>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</si>
  <si>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</si>
  <si>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</si>
  <si>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</si>
  <si>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</si>
  <si>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</si>
  <si>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</si>
  <si>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</si>
  <si>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</si>
  <si>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</si>
  <si>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</si>
  <si>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</si>
  <si>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</si>
  <si>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</si>
  <si>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</si>
  <si>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</si>
  <si>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</si>
  <si>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</si>
  <si>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</si>
  <si>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</si>
  <si>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</si>
  <si>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</si>
  <si>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</si>
  <si>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</si>
  <si>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</si>
  <si>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</si>
  <si>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</si>
  <si>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</si>
  <si>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</si>
  <si>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</si>
  <si>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</si>
  <si>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</si>
  <si>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</si>
  <si>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</si>
  <si>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</si>
  <si>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</si>
  <si>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</si>
  <si>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</si>
  <si>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</si>
  <si>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</si>
  <si>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</si>
  <si>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</si>
  <si>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</si>
  <si>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</si>
  <si>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</si>
  <si>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</si>
  <si>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</si>
  <si>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</si>
  <si>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</si>
  <si>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</si>
  <si>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</si>
  <si>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</si>
  <si>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</si>
  <si>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</si>
  <si>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</si>
  <si>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</si>
  <si>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</si>
  <si>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</si>
  <si>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</si>
  <si>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</si>
  <si>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</si>
  <si>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</si>
  <si>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</si>
  <si>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</si>
  <si>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</si>
  <si>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</si>
  <si>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</si>
  <si>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</si>
  <si>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</si>
  <si>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</si>
  <si>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</si>
  <si>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</si>
  <si>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</si>
  <si>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</si>
  <si>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</si>
  <si>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</si>
  <si>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</si>
  <si>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</si>
  <si>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</si>
  <si>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</si>
  <si>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</si>
  <si>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</si>
  <si>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</si>
  <si>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</si>
  <si>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</si>
  <si>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</si>
  <si>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</si>
  <si>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</si>
  <si>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</si>
  <si>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</si>
  <si>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</si>
  <si>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</si>
  <si>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</si>
  <si>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</si>
  <si>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</si>
  <si>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</si>
  <si>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</si>
  <si>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</si>
  <si>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</si>
  <si>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</si>
  <si>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</si>
  <si>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</si>
  <si>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</si>
  <si>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</si>
  <si>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</si>
  <si>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</si>
  <si>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</si>
  <si>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</si>
  <si>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</si>
  <si>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</si>
  <si>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</si>
  <si>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</si>
  <si>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</si>
  <si>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</si>
  <si>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</si>
  <si>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</si>
  <si>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</si>
  <si>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</si>
  <si>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</si>
  <si>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</si>
  <si>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</si>
  <si>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</si>
  <si>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</si>
  <si>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</si>
  <si>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</si>
  <si>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</si>
  <si>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</si>
  <si>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</si>
  <si>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</si>
  <si>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</si>
  <si>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</si>
  <si>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</si>
  <si>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</si>
  <si>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</si>
  <si>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</si>
  <si>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</si>
  <si>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</si>
  <si>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</si>
  <si>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</si>
  <si>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</si>
  <si>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</si>
  <si>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</si>
  <si>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</si>
  <si>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</si>
  <si>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</si>
  <si>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</si>
  <si>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</si>
  <si>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</si>
  <si>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</si>
  <si>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</si>
  <si>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</si>
  <si>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</si>
  <si>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</si>
  <si>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</si>
  <si>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</si>
  <si>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</si>
  <si>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</si>
  <si>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</si>
  <si>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</si>
  <si>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</si>
  <si>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</si>
  <si>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</si>
  <si>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</si>
  <si>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</si>
  <si>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</si>
  <si>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</si>
  <si>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</si>
  <si>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</si>
  <si>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</si>
  <si>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</si>
  <si>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</si>
  <si>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</si>
  <si>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</si>
  <si>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</si>
  <si>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</si>
  <si>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</si>
  <si>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</si>
  <si>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</si>
  <si>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</si>
  <si>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</si>
  <si>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</si>
  <si>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</si>
  <si>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</si>
  <si>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</si>
  <si>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</si>
  <si>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</si>
  <si>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</si>
  <si>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</si>
  <si>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</si>
  <si>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</si>
  <si>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</si>
  <si>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</si>
  <si>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</si>
  <si>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</si>
  <si>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</si>
  <si>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</si>
  <si>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</si>
  <si>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</si>
  <si>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</si>
  <si>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</si>
  <si>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</si>
  <si>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</si>
  <si>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</si>
  <si>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</si>
  <si>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</si>
  <si>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</si>
  <si>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</si>
  <si>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</si>
  <si>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</si>
  <si>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</si>
  <si>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</si>
  <si>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</si>
  <si>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</si>
  <si>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</si>
  <si>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</si>
  <si>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</si>
  <si>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</si>
  <si>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</si>
  <si>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</si>
  <si>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</si>
  <si>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</si>
  <si>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</si>
  <si>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</si>
  <si>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</si>
  <si>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</si>
  <si>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</si>
  <si>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</si>
  <si>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</si>
  <si>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</si>
  <si>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</si>
  <si>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</si>
  <si>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</si>
  <si>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</si>
  <si>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</si>
  <si>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</si>
  <si>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</si>
  <si>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</si>
  <si>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</si>
  <si>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</si>
  <si>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</si>
  <si>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</si>
  <si>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</si>
  <si>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</si>
  <si>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</si>
  <si>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</si>
  <si>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</si>
  <si>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</si>
  <si>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</si>
  <si>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</si>
  <si>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</si>
  <si>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</si>
  <si>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</si>
  <si>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</si>
  <si>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</si>
  <si>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</si>
  <si>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</si>
  <si>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</si>
  <si>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</si>
  <si>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</si>
  <si>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</si>
  <si>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</si>
  <si>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</si>
  <si>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</si>
  <si>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</si>
  <si>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</si>
  <si>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</si>
  <si>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</si>
  <si>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</si>
  <si>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</si>
  <si>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</si>
  <si>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</si>
  <si>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</si>
  <si>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</si>
  <si>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</si>
  <si>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</si>
  <si>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</si>
  <si>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</si>
  <si>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</si>
  <si>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</si>
  <si>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</si>
  <si>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</si>
  <si>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</si>
  <si>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</si>
  <si>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</si>
  <si>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</si>
  <si>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</si>
  <si>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</si>
  <si>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</si>
  <si>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</si>
  <si>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</si>
  <si>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</si>
  <si>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</si>
  <si>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</si>
  <si>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</si>
  <si>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</si>
  <si>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</si>
  <si>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</si>
  <si>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</si>
  <si>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</si>
  <si>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</si>
  <si>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</si>
  <si>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</si>
  <si>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</si>
  <si>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</si>
  <si>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</si>
  <si>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</si>
  <si>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</si>
  <si>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</si>
  <si>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</si>
  <si>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</si>
  <si>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</si>
  <si>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</si>
  <si>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</si>
  <si>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</si>
  <si>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</si>
  <si>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</si>
  <si>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</si>
  <si>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</si>
  <si>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</si>
  <si>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</si>
  <si>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</si>
  <si>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</si>
  <si>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</si>
  <si>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</si>
  <si>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</si>
  <si>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</si>
  <si>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</si>
  <si>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</si>
  <si>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</si>
  <si>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</si>
  <si>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</si>
  <si>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</si>
  <si>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</si>
  <si>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</si>
  <si>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</si>
  <si>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</si>
  <si>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</si>
  <si>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</si>
  <si>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</si>
  <si>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</si>
  <si>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</si>
  <si>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</si>
  <si>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</si>
  <si>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</si>
  <si>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</si>
  <si>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</si>
  <si>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</si>
  <si>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</si>
  <si>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</si>
  <si>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</si>
  <si>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</si>
  <si>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</si>
  <si>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</si>
  <si>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</si>
  <si>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</si>
  <si>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</si>
  <si>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</si>
  <si>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</si>
  <si>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</si>
  <si>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</si>
  <si>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</si>
  <si>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</si>
  <si>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</si>
  <si>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</si>
  <si>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</si>
  <si>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</si>
  <si>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</si>
  <si>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</si>
  <si>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</si>
  <si>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</si>
  <si>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</si>
  <si>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</si>
  <si>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</si>
  <si>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</si>
  <si>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</si>
  <si>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</si>
  <si>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</si>
  <si>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</si>
  <si>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</si>
  <si>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</si>
  <si>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</si>
  <si>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</si>
  <si>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</si>
  <si>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</si>
  <si>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</si>
  <si>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</si>
  <si>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</si>
  <si>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</si>
  <si>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</si>
  <si>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</si>
  <si>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</si>
  <si>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</si>
  <si>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</si>
  <si>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</si>
  <si>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</si>
  <si>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</si>
  <si>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</si>
  <si>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</si>
  <si>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</si>
  <si>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</si>
  <si>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</si>
  <si>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</si>
  <si>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</si>
  <si>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</si>
  <si>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</si>
  <si>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</si>
  <si>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</si>
  <si>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</si>
  <si>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</si>
  <si>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</si>
  <si>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</si>
  <si>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</si>
  <si>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</si>
  <si>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</si>
  <si>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</si>
  <si>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</si>
  <si>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</si>
  <si>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</si>
  <si>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</si>
  <si>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</si>
  <si>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</si>
  <si>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</si>
  <si>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</si>
  <si>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</si>
  <si>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</si>
  <si>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</si>
  <si>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</si>
  <si>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</si>
  <si>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</si>
  <si>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</si>
  <si>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</si>
  <si>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</si>
  <si>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</si>
  <si>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</si>
  <si>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</si>
  <si>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</si>
  <si>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</si>
  <si>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</si>
  <si>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</si>
  <si>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</si>
  <si>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</si>
  <si>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</si>
  <si>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</si>
  <si>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</si>
  <si>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</si>
  <si>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</si>
  <si>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</si>
  <si>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</si>
  <si>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</si>
  <si>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</si>
  <si>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</si>
  <si>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</si>
  <si>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</si>
  <si>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</si>
  <si>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</si>
  <si>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</si>
  <si>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</si>
  <si>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</si>
  <si>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</si>
  <si>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</si>
  <si>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</si>
  <si>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</si>
  <si>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</si>
  <si>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</si>
  <si>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</si>
  <si>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</si>
  <si>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</si>
  <si>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</si>
  <si>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</si>
  <si>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</si>
  <si>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</si>
  <si>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</si>
  <si>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</si>
  <si>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</si>
  <si>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</si>
  <si>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</si>
  <si>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</si>
  <si>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</si>
  <si>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</si>
  <si>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</si>
  <si>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</si>
  <si>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</si>
  <si>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</si>
  <si>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</si>
  <si>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</si>
  <si>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</si>
  <si>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</si>
  <si>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</si>
  <si>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</si>
  <si>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</si>
  <si>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</si>
  <si>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</si>
  <si>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</si>
  <si>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</si>
  <si>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</si>
  <si>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</si>
  <si>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</si>
  <si>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</si>
  <si>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</si>
  <si>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</si>
  <si>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</si>
  <si>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</si>
  <si>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</si>
  <si>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</si>
  <si>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</si>
  <si>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</si>
  <si>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</si>
  <si>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</si>
  <si>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</si>
  <si>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</si>
  <si>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</si>
  <si>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</si>
  <si>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</si>
  <si>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</si>
  <si>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</si>
  <si>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</si>
  <si>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</si>
  <si>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</si>
  <si>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</si>
  <si>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</si>
  <si>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</si>
  <si>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</si>
  <si>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</si>
  <si>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</si>
  <si>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</si>
  <si>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</si>
  <si>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</si>
  <si>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</si>
  <si>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</si>
  <si>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</si>
  <si>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</si>
  <si>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</si>
  <si>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</si>
  <si>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</si>
  <si>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</si>
  <si>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</si>
  <si>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</si>
  <si>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</si>
  <si>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</si>
  <si>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</si>
  <si>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</si>
  <si>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</si>
  <si>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</si>
  <si>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</si>
  <si>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</si>
  <si>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</si>
  <si>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</si>
  <si>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</si>
  <si>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</si>
  <si>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</si>
  <si>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</si>
  <si>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</si>
  <si>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</si>
  <si>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</si>
  <si>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</si>
  <si>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</si>
  <si>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</si>
  <si>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</si>
  <si>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</si>
  <si>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</si>
  <si>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</si>
  <si>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</si>
  <si>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</si>
  <si>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</si>
  <si>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</si>
  <si>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</si>
  <si>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</si>
  <si>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</si>
  <si>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</si>
  <si>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</si>
  <si>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</si>
  <si>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</si>
  <si>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</si>
  <si>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</si>
  <si>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</si>
  <si>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</si>
  <si>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</si>
  <si>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</si>
  <si>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</si>
  <si>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</si>
  <si>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</si>
  <si>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</si>
  <si>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</si>
  <si>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</si>
  <si>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</si>
  <si>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</si>
  <si>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</si>
  <si>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</si>
  <si>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</si>
  <si>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</si>
  <si>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</si>
  <si>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</si>
  <si>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</si>
  <si>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</si>
  <si>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</si>
  <si>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</si>
  <si>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</si>
  <si>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</si>
  <si>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</si>
  <si>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</si>
  <si>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</si>
  <si>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</si>
  <si>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</si>
  <si>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</si>
  <si>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</si>
  <si>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</si>
  <si>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</si>
  <si>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</si>
  <si>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</si>
  <si>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</si>
  <si>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</si>
  <si>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</si>
  <si>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</si>
  <si>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</si>
  <si>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</si>
  <si>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</si>
  <si>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</si>
  <si>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</si>
  <si>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</si>
  <si>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</si>
  <si>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</si>
  <si>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</si>
  <si>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</si>
  <si>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</si>
  <si>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</si>
  <si>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</si>
  <si>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</si>
  <si>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</si>
  <si>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</si>
  <si>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</si>
  <si>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</si>
  <si>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</si>
  <si>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</si>
  <si>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</si>
  <si>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</si>
  <si>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</si>
  <si>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</si>
  <si>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</si>
  <si>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</si>
  <si>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</si>
  <si>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</si>
  <si>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</si>
  <si>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</si>
  <si>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</si>
  <si>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</si>
  <si>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</si>
  <si>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</si>
  <si>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</si>
  <si>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</si>
  <si>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</si>
  <si>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</si>
  <si>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</si>
  <si>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</si>
  <si>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</si>
  <si>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</si>
  <si>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</si>
  <si>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</si>
  <si>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</si>
  <si>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</si>
  <si>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</si>
  <si>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</si>
  <si>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</si>
  <si>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</si>
  <si>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</si>
  <si>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</si>
  <si>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</si>
  <si>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</si>
  <si>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</si>
  <si>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</si>
  <si>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</si>
  <si>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</si>
  <si>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</si>
  <si>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</si>
  <si>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</si>
  <si>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</si>
  <si>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</si>
  <si>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</si>
  <si>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</si>
  <si>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</si>
  <si>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</si>
  <si>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</si>
  <si>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</si>
  <si>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</si>
  <si>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</si>
  <si>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</si>
  <si>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</si>
  <si>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</si>
  <si>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</si>
  <si>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</si>
  <si>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</si>
  <si>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</si>
  <si>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</si>
  <si>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</si>
  <si>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</si>
  <si>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</si>
  <si>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</si>
  <si>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</si>
  <si>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</si>
  <si>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</si>
  <si>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</si>
  <si>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</si>
  <si>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</si>
  <si>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</si>
  <si>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</si>
  <si>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</si>
  <si>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</si>
  <si>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</si>
  <si>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</si>
  <si>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</si>
  <si>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</si>
  <si>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</si>
  <si>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</si>
  <si>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</si>
  <si>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</si>
  <si>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</si>
  <si>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</si>
  <si>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</si>
  <si>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</si>
  <si>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</si>
  <si>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</si>
  <si>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</si>
  <si>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</si>
  <si>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</si>
  <si>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</si>
  <si>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</si>
  <si>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</si>
  <si>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</si>
  <si>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</si>
  <si>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</si>
  <si>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</si>
  <si>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</si>
  <si>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</si>
  <si>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</si>
  <si>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</si>
  <si>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</si>
  <si>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</si>
  <si>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</si>
  <si>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</si>
  <si>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</si>
  <si>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</si>
  <si>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</si>
  <si>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</si>
  <si>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</si>
  <si>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</si>
  <si>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</si>
  <si>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</si>
  <si>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</si>
  <si>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</si>
  <si>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</si>
  <si>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</si>
  <si>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</si>
  <si>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</si>
  <si>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</si>
  <si>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</si>
  <si>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</si>
  <si>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</si>
  <si>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</si>
  <si>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</si>
  <si>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</si>
  <si>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</si>
  <si>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</si>
  <si>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</si>
  <si>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</si>
  <si>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</si>
  <si>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</si>
  <si>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</si>
  <si>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</si>
  <si>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</si>
  <si>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</si>
  <si>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</si>
  <si>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</si>
  <si>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</si>
  <si>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</si>
  <si>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</si>
  <si>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</si>
  <si>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</si>
  <si>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</si>
  <si>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</si>
  <si>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</si>
  <si>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</si>
  <si>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</si>
  <si>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</si>
  <si>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</si>
  <si>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</si>
  <si>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</si>
  <si>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</si>
  <si>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</si>
  <si>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</si>
  <si>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</si>
  <si>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</si>
  <si>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</si>
  <si>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</si>
  <si>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</si>
  <si>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</si>
  <si>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</si>
  <si>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</si>
  <si>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</si>
  <si>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</si>
  <si>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</si>
  <si>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</si>
  <si>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</si>
  <si>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</si>
  <si>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</si>
  <si>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</si>
  <si>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</si>
  <si>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</si>
  <si>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</si>
  <si>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</si>
  <si>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</si>
  <si>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</si>
  <si>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</si>
  <si>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</si>
  <si>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</si>
  <si>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</si>
  <si>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</si>
  <si>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</si>
  <si>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</si>
  <si>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</si>
  <si>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</si>
  <si>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</si>
  <si>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</si>
  <si>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</si>
  <si>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</si>
  <si>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</si>
  <si>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</si>
  <si>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</si>
  <si>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</si>
  <si>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</si>
  <si>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</si>
  <si>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</si>
  <si>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</si>
  <si>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</si>
  <si>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08/10</t>
  </si>
  <si>
    <t>08/30</t>
  </si>
  <si>
    <t>Strafford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</si>
</sst>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507</v>
      </c>
      <c r="C2" s="21">
        <v>507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480693.26+75000</f>
        <v>555693.26</v>
      </c>
      <c r="G9" s="18"/>
      <c r="H9" s="18"/>
      <c r="I9" s="18"/>
      <c r="J9" s="67">
        <f>SUM(I439)</f>
        <v>472385.34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8692.57</v>
      </c>
      <c r="G12" s="18">
        <f>3046.58+29180.43</f>
        <v>32227.010000000002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f>19361.7-8692.57</f>
        <v>10669.130000000001</v>
      </c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15810.96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2602.8000000000002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577657.76</v>
      </c>
      <c r="G19" s="41">
        <f>SUM(G9:G18)</f>
        <v>48037.97</v>
      </c>
      <c r="H19" s="41">
        <f>SUM(H9:H18)</f>
        <v>0</v>
      </c>
      <c r="I19" s="41">
        <f>SUM(I9:I18)</f>
        <v>0</v>
      </c>
      <c r="J19" s="41">
        <f>SUM(J9:J18)</f>
        <v>472385.34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32227.01</v>
      </c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74405.05</v>
      </c>
      <c r="G24" s="18">
        <v>3046.58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106632.06</v>
      </c>
      <c r="G32" s="41">
        <f>SUM(G22:G31)</f>
        <v>3046.58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15810.96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29180.43</v>
      </c>
      <c r="H48" s="18"/>
      <c r="I48" s="18"/>
      <c r="J48" s="13">
        <f>SUM(I459)</f>
        <v>472385.34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421025.7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471025.7</v>
      </c>
      <c r="G51" s="41">
        <f>SUM(G35:G50)</f>
        <v>44991.39</v>
      </c>
      <c r="H51" s="41">
        <f>SUM(H35:H50)</f>
        <v>0</v>
      </c>
      <c r="I51" s="41">
        <f>SUM(I35:I50)</f>
        <v>0</v>
      </c>
      <c r="J51" s="41">
        <f>SUM(J35:J50)</f>
        <v>472385.34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577657.76</v>
      </c>
      <c r="G52" s="41">
        <f>G51+G32</f>
        <v>48037.97</v>
      </c>
      <c r="H52" s="41">
        <f>H51+H32</f>
        <v>0</v>
      </c>
      <c r="I52" s="41">
        <f>I51+I32</f>
        <v>0</v>
      </c>
      <c r="J52" s="41">
        <f>J51+J32</f>
        <v>472385.34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6437853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6437853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1885.13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1885.13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98.57</v>
      </c>
      <c r="G96" s="18"/>
      <c r="H96" s="18"/>
      <c r="I96" s="18"/>
      <c r="J96" s="18">
        <v>3050.46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104788.42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6226.1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146.1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6470.77</v>
      </c>
      <c r="G111" s="41">
        <f>SUM(G96:G110)</f>
        <v>104788.42</v>
      </c>
      <c r="H111" s="41">
        <f>SUM(H96:H110)</f>
        <v>0</v>
      </c>
      <c r="I111" s="41">
        <f>SUM(I96:I110)</f>
        <v>0</v>
      </c>
      <c r="J111" s="41">
        <f>SUM(J96:J110)</f>
        <v>3050.46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6446208.8999999994</v>
      </c>
      <c r="G112" s="41">
        <f>G60+G111</f>
        <v>104788.42</v>
      </c>
      <c r="H112" s="41">
        <f>H60+H79+H94+H111</f>
        <v>0</v>
      </c>
      <c r="I112" s="41">
        <f>I60+I111</f>
        <v>0</v>
      </c>
      <c r="J112" s="41">
        <f>J60+J111</f>
        <v>3050.46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2082685.41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1029467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3112152.41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66982.5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2525.11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66982.5</v>
      </c>
      <c r="G136" s="41">
        <f>SUM(G123:G135)</f>
        <v>2525.11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3179134.91</v>
      </c>
      <c r="G140" s="41">
        <f>G121+SUM(G136:G137)</f>
        <v>2525.11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35975.06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57803.93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57803.93</v>
      </c>
      <c r="G162" s="41">
        <f>SUM(G150:G161)</f>
        <v>35975.06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57803.93</v>
      </c>
      <c r="G169" s="41">
        <f>G147+G162+SUM(G163:G168)</f>
        <v>35975.06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39517.15</v>
      </c>
      <c r="H179" s="18"/>
      <c r="I179" s="18"/>
      <c r="J179" s="18">
        <v>50000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>
        <v>163.36000000000001</v>
      </c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163.36000000000001</v>
      </c>
      <c r="G183" s="41">
        <f>SUM(G179:G182)</f>
        <v>39517.15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163.36000000000001</v>
      </c>
      <c r="G192" s="41">
        <f>G183+SUM(G188:G191)</f>
        <v>39517.15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9683311.0999999978</v>
      </c>
      <c r="G193" s="47">
        <f>G112+G140+G169+G192</f>
        <v>182805.74</v>
      </c>
      <c r="H193" s="47">
        <f>H112+H140+H169+H192</f>
        <v>0</v>
      </c>
      <c r="I193" s="47">
        <f>I112+I140+I169+I192</f>
        <v>0</v>
      </c>
      <c r="J193" s="47">
        <f>J112+J140+J192</f>
        <v>53050.46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1800560.02</v>
      </c>
      <c r="G197" s="18">
        <v>839651.83999999997</v>
      </c>
      <c r="H197" s="18">
        <v>30890.959999999999</v>
      </c>
      <c r="I197" s="18">
        <v>53037.36</v>
      </c>
      <c r="J197" s="18">
        <v>65336.49</v>
      </c>
      <c r="K197" s="18">
        <v>765.28</v>
      </c>
      <c r="L197" s="19">
        <f>SUM(F197:K197)</f>
        <v>2790241.9499999997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497729.04</v>
      </c>
      <c r="G198" s="18">
        <v>280708.96999999997</v>
      </c>
      <c r="H198" s="18">
        <v>114499.22</v>
      </c>
      <c r="I198" s="18">
        <v>5744.98</v>
      </c>
      <c r="J198" s="18">
        <v>943.57</v>
      </c>
      <c r="K198" s="18">
        <v>125</v>
      </c>
      <c r="L198" s="19">
        <f>SUM(F198:K198)</f>
        <v>899750.77999999991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38371.449999999997</v>
      </c>
      <c r="G200" s="18">
        <v>6549.54</v>
      </c>
      <c r="H200" s="18">
        <v>6520</v>
      </c>
      <c r="I200" s="18">
        <v>4872.97</v>
      </c>
      <c r="J200" s="18">
        <v>2253</v>
      </c>
      <c r="K200" s="18">
        <v>0</v>
      </c>
      <c r="L200" s="19">
        <f>SUM(F200:K200)</f>
        <v>58566.96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233032.98</v>
      </c>
      <c r="G202" s="18">
        <v>87392.33</v>
      </c>
      <c r="H202" s="18">
        <v>97126.8</v>
      </c>
      <c r="I202" s="18">
        <v>4127.04</v>
      </c>
      <c r="J202" s="18">
        <v>2150.4499999999998</v>
      </c>
      <c r="K202" s="18">
        <v>0</v>
      </c>
      <c r="L202" s="19">
        <f t="shared" ref="L202:L208" si="0">SUM(F202:K202)</f>
        <v>423829.6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73312.94</v>
      </c>
      <c r="G203" s="18">
        <v>31790.1</v>
      </c>
      <c r="H203" s="18">
        <v>11890.97</v>
      </c>
      <c r="I203" s="18">
        <v>35122.15</v>
      </c>
      <c r="J203" s="18">
        <v>0</v>
      </c>
      <c r="K203" s="18">
        <v>0</v>
      </c>
      <c r="L203" s="19">
        <f t="shared" si="0"/>
        <v>152116.16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10679.13</v>
      </c>
      <c r="G204" s="18">
        <v>816.97</v>
      </c>
      <c r="H204" s="18">
        <v>251763.69</v>
      </c>
      <c r="I204" s="18">
        <v>0</v>
      </c>
      <c r="J204" s="18">
        <v>0</v>
      </c>
      <c r="K204" s="18">
        <v>4618.62</v>
      </c>
      <c r="L204" s="19">
        <f t="shared" si="0"/>
        <v>267878.40999999997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290390.95</v>
      </c>
      <c r="G205" s="18">
        <v>150731.04</v>
      </c>
      <c r="H205" s="18">
        <v>9417.11</v>
      </c>
      <c r="I205" s="18">
        <v>592.44000000000005</v>
      </c>
      <c r="J205" s="18">
        <v>0</v>
      </c>
      <c r="K205" s="18">
        <v>3304.12</v>
      </c>
      <c r="L205" s="19">
        <f t="shared" si="0"/>
        <v>454435.66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122789.13</v>
      </c>
      <c r="G207" s="18">
        <v>57193.7</v>
      </c>
      <c r="H207" s="18">
        <f>134985.9+7567.32</f>
        <v>142553.22</v>
      </c>
      <c r="I207" s="18">
        <v>115130.7</v>
      </c>
      <c r="J207" s="18">
        <v>1554.68</v>
      </c>
      <c r="K207" s="18">
        <v>0</v>
      </c>
      <c r="L207" s="19">
        <f t="shared" si="0"/>
        <v>439221.43000000005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v>209917.77</v>
      </c>
      <c r="I208" s="18">
        <v>0</v>
      </c>
      <c r="J208" s="18">
        <v>0</v>
      </c>
      <c r="K208" s="18">
        <v>0</v>
      </c>
      <c r="L208" s="19">
        <f t="shared" si="0"/>
        <v>209917.77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3066865.64</v>
      </c>
      <c r="G211" s="41">
        <f t="shared" si="1"/>
        <v>1454834.4900000002</v>
      </c>
      <c r="H211" s="41">
        <f t="shared" si="1"/>
        <v>874579.74</v>
      </c>
      <c r="I211" s="41">
        <f t="shared" si="1"/>
        <v>218627.64</v>
      </c>
      <c r="J211" s="41">
        <f t="shared" si="1"/>
        <v>72238.189999999988</v>
      </c>
      <c r="K211" s="41">
        <f t="shared" si="1"/>
        <v>8813.02</v>
      </c>
      <c r="L211" s="41">
        <f t="shared" si="1"/>
        <v>5695958.7199999988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0</v>
      </c>
      <c r="G233" s="18">
        <v>0</v>
      </c>
      <c r="H233" s="18">
        <v>3268809.68</v>
      </c>
      <c r="I233" s="18">
        <v>0</v>
      </c>
      <c r="J233" s="18">
        <v>0</v>
      </c>
      <c r="K233" s="18">
        <v>0</v>
      </c>
      <c r="L233" s="19">
        <f>SUM(F233:K233)</f>
        <v>3268809.68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0</v>
      </c>
      <c r="G234" s="18">
        <v>0</v>
      </c>
      <c r="H234" s="18">
        <v>305364.21999999997</v>
      </c>
      <c r="I234" s="18">
        <v>0</v>
      </c>
      <c r="J234" s="18">
        <v>0</v>
      </c>
      <c r="K234" s="18">
        <v>0</v>
      </c>
      <c r="L234" s="19">
        <f>SUM(F234:K234)</f>
        <v>305364.21999999997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5501.37</v>
      </c>
      <c r="G240" s="18">
        <v>420.86</v>
      </c>
      <c r="H240" s="18">
        <v>129696.45</v>
      </c>
      <c r="I240" s="18">
        <v>0</v>
      </c>
      <c r="J240" s="18">
        <v>0</v>
      </c>
      <c r="K240" s="18">
        <v>2379.29</v>
      </c>
      <c r="L240" s="19">
        <f t="shared" si="4"/>
        <v>137997.97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v>137593.1</v>
      </c>
      <c r="I244" s="18">
        <v>0</v>
      </c>
      <c r="J244" s="18">
        <v>0</v>
      </c>
      <c r="K244" s="18">
        <v>0</v>
      </c>
      <c r="L244" s="19">
        <f t="shared" si="4"/>
        <v>137593.1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5501.37</v>
      </c>
      <c r="G247" s="41">
        <f t="shared" si="5"/>
        <v>420.86</v>
      </c>
      <c r="H247" s="41">
        <f t="shared" si="5"/>
        <v>3841463.4500000007</v>
      </c>
      <c r="I247" s="41">
        <f t="shared" si="5"/>
        <v>0</v>
      </c>
      <c r="J247" s="41">
        <f t="shared" si="5"/>
        <v>0</v>
      </c>
      <c r="K247" s="41">
        <f t="shared" si="5"/>
        <v>2379.29</v>
      </c>
      <c r="L247" s="41">
        <f t="shared" si="5"/>
        <v>3849764.9700000007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3072367.0100000002</v>
      </c>
      <c r="G257" s="41">
        <f t="shared" si="8"/>
        <v>1455255.3500000003</v>
      </c>
      <c r="H257" s="41">
        <f t="shared" si="8"/>
        <v>4716043.1900000004</v>
      </c>
      <c r="I257" s="41">
        <f t="shared" si="8"/>
        <v>218627.64</v>
      </c>
      <c r="J257" s="41">
        <f t="shared" si="8"/>
        <v>72238.189999999988</v>
      </c>
      <c r="K257" s="41">
        <f t="shared" si="8"/>
        <v>11192.310000000001</v>
      </c>
      <c r="L257" s="41">
        <f t="shared" si="8"/>
        <v>9545723.6899999995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205000</v>
      </c>
      <c r="L260" s="19">
        <f>SUM(F260:K260)</f>
        <v>205000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202012.5</v>
      </c>
      <c r="L261" s="19">
        <f>SUM(F261:K261)</f>
        <v>202012.5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39517.15</v>
      </c>
      <c r="L263" s="19">
        <f>SUM(F263:K263)</f>
        <v>39517.15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750</v>
      </c>
      <c r="L268" s="19">
        <f t="shared" si="9"/>
        <v>750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497279.65</v>
      </c>
      <c r="L270" s="41">
        <f t="shared" si="9"/>
        <v>497279.65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3072367.0100000002</v>
      </c>
      <c r="G271" s="42">
        <f t="shared" si="11"/>
        <v>1455255.3500000003</v>
      </c>
      <c r="H271" s="42">
        <f t="shared" si="11"/>
        <v>4716043.1900000004</v>
      </c>
      <c r="I271" s="42">
        <f t="shared" si="11"/>
        <v>218627.64</v>
      </c>
      <c r="J271" s="42">
        <f t="shared" si="11"/>
        <v>72238.189999999988</v>
      </c>
      <c r="K271" s="42">
        <f t="shared" si="11"/>
        <v>508471.96</v>
      </c>
      <c r="L271" s="42">
        <f t="shared" si="11"/>
        <v>10043003.34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68876.009999999995</v>
      </c>
      <c r="G358" s="18">
        <v>11416.56</v>
      </c>
      <c r="H358" s="18">
        <v>433.66</v>
      </c>
      <c r="I358" s="18">
        <v>68992.55</v>
      </c>
      <c r="J358" s="18">
        <v>200</v>
      </c>
      <c r="K358" s="18">
        <v>52.5</v>
      </c>
      <c r="L358" s="13">
        <f>SUM(F358:K358)</f>
        <v>149971.28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>
        <v>163.36000000000001</v>
      </c>
      <c r="L361" s="13">
        <f>SUM(F361:K361)</f>
        <v>163.36000000000001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68876.009999999995</v>
      </c>
      <c r="G362" s="47">
        <f t="shared" si="22"/>
        <v>11416.56</v>
      </c>
      <c r="H362" s="47">
        <f t="shared" si="22"/>
        <v>433.66</v>
      </c>
      <c r="I362" s="47">
        <f t="shared" si="22"/>
        <v>68992.55</v>
      </c>
      <c r="J362" s="47">
        <f t="shared" si="22"/>
        <v>200</v>
      </c>
      <c r="K362" s="47">
        <f t="shared" si="22"/>
        <v>215.86</v>
      </c>
      <c r="L362" s="47">
        <f t="shared" si="22"/>
        <v>150134.63999999998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65816.36</v>
      </c>
      <c r="G367" s="18"/>
      <c r="H367" s="18"/>
      <c r="I367" s="56">
        <f>SUM(F367:H367)</f>
        <v>65816.36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3176.19</v>
      </c>
      <c r="G368" s="63"/>
      <c r="H368" s="63"/>
      <c r="I368" s="56">
        <f>SUM(F368:H368)</f>
        <v>3176.19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68992.55</v>
      </c>
      <c r="G369" s="47">
        <f>SUM(G367:G368)</f>
        <v>0</v>
      </c>
      <c r="H369" s="47">
        <f>SUM(H367:H368)</f>
        <v>0</v>
      </c>
      <c r="I369" s="47">
        <f>SUM(I367:I368)</f>
        <v>68992.55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25000</v>
      </c>
      <c r="H396" s="18">
        <v>1927.11</v>
      </c>
      <c r="I396" s="18"/>
      <c r="J396" s="24" t="s">
        <v>288</v>
      </c>
      <c r="K396" s="24" t="s">
        <v>288</v>
      </c>
      <c r="L396" s="56">
        <f t="shared" si="26"/>
        <v>26927.11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25000</v>
      </c>
      <c r="H397" s="18">
        <v>1123.3499999999999</v>
      </c>
      <c r="I397" s="18"/>
      <c r="J397" s="24" t="s">
        <v>288</v>
      </c>
      <c r="K397" s="24" t="s">
        <v>288</v>
      </c>
      <c r="L397" s="56">
        <f t="shared" si="26"/>
        <v>26123.35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3050.46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53050.46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3050.46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53050.46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472385.34</v>
      </c>
      <c r="G439" s="18"/>
      <c r="H439" s="18"/>
      <c r="I439" s="56">
        <f t="shared" ref="I439:I445" si="33">SUM(F439:H439)</f>
        <v>472385.34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472385.34</v>
      </c>
      <c r="G446" s="13">
        <f>SUM(G439:G445)</f>
        <v>0</v>
      </c>
      <c r="H446" s="13">
        <f>SUM(H439:H445)</f>
        <v>0</v>
      </c>
      <c r="I446" s="13">
        <f>SUM(I439:I445)</f>
        <v>472385.34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472385.34</v>
      </c>
      <c r="G459" s="18"/>
      <c r="H459" s="18"/>
      <c r="I459" s="56">
        <f t="shared" si="34"/>
        <v>472385.34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472385.34</v>
      </c>
      <c r="G460" s="83">
        <f>SUM(G454:G459)</f>
        <v>0</v>
      </c>
      <c r="H460" s="83">
        <f>SUM(H454:H459)</f>
        <v>0</v>
      </c>
      <c r="I460" s="83">
        <f>SUM(I454:I459)</f>
        <v>472385.34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472385.34</v>
      </c>
      <c r="G461" s="42">
        <f>G452+G460</f>
        <v>0</v>
      </c>
      <c r="H461" s="42">
        <f>H452+H460</f>
        <v>0</v>
      </c>
      <c r="I461" s="42">
        <f>I452+I460</f>
        <v>472385.34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830717.94</v>
      </c>
      <c r="G465" s="18">
        <v>12320.29</v>
      </c>
      <c r="H465" s="18"/>
      <c r="I465" s="18"/>
      <c r="J465" s="18">
        <v>419334.88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9683147.74+163.36</f>
        <v>9683311.0999999996</v>
      </c>
      <c r="G468" s="18">
        <v>182805.74</v>
      </c>
      <c r="H468" s="18"/>
      <c r="I468" s="18"/>
      <c r="J468" s="18">
        <v>53050.46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9683311.0999999996</v>
      </c>
      <c r="G470" s="53">
        <f>SUM(G468:G469)</f>
        <v>182805.74</v>
      </c>
      <c r="H470" s="53">
        <f>SUM(H468:H469)</f>
        <v>0</v>
      </c>
      <c r="I470" s="53">
        <f>SUM(I468:I469)</f>
        <v>0</v>
      </c>
      <c r="J470" s="53">
        <f>SUM(J468:J469)</f>
        <v>53050.46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10185570.66+7567.32-150134.64</f>
        <v>10043003.34</v>
      </c>
      <c r="G472" s="18">
        <f>149971.28+163.36</f>
        <v>150134.63999999998</v>
      </c>
      <c r="H472" s="18"/>
      <c r="I472" s="18"/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10043003.34</v>
      </c>
      <c r="G474" s="53">
        <f>SUM(G472:G473)</f>
        <v>150134.63999999998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471025.69999999925</v>
      </c>
      <c r="G476" s="53">
        <f>(G465+G470)- G474</f>
        <v>44991.390000000014</v>
      </c>
      <c r="H476" s="53">
        <f>(H465+H470)- H474</f>
        <v>0</v>
      </c>
      <c r="I476" s="53">
        <f>(I465+I470)- I474</f>
        <v>0</v>
      </c>
      <c r="J476" s="53">
        <f>(J465+J470)- J474</f>
        <v>472385.34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5600000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3.9851000000000001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4305000</v>
      </c>
      <c r="G495" s="18"/>
      <c r="H495" s="18"/>
      <c r="I495" s="18"/>
      <c r="J495" s="18"/>
      <c r="K495" s="53">
        <f>SUM(F495:J495)</f>
        <v>4305000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205000</v>
      </c>
      <c r="G497" s="18"/>
      <c r="H497" s="18"/>
      <c r="I497" s="18"/>
      <c r="J497" s="18"/>
      <c r="K497" s="53">
        <f t="shared" si="35"/>
        <v>205000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f>F495-F497</f>
        <v>4100000</v>
      </c>
      <c r="G498" s="204"/>
      <c r="H498" s="204"/>
      <c r="I498" s="204"/>
      <c r="J498" s="204"/>
      <c r="K498" s="205">
        <f t="shared" si="35"/>
        <v>4100000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1363182.25</v>
      </c>
      <c r="G499" s="18"/>
      <c r="H499" s="18"/>
      <c r="I499" s="18"/>
      <c r="J499" s="18"/>
      <c r="K499" s="53">
        <f t="shared" si="35"/>
        <v>1363182.25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5463182.25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5463182.25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210000</v>
      </c>
      <c r="G501" s="204"/>
      <c r="H501" s="204"/>
      <c r="I501" s="204"/>
      <c r="J501" s="204"/>
      <c r="K501" s="205">
        <f t="shared" si="35"/>
        <v>210000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99468.75+94218.75</f>
        <v>193687.5</v>
      </c>
      <c r="G502" s="18"/>
      <c r="H502" s="18"/>
      <c r="I502" s="18"/>
      <c r="J502" s="18"/>
      <c r="K502" s="53">
        <f t="shared" si="35"/>
        <v>193687.5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403687.5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403687.5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497729.04</v>
      </c>
      <c r="G521" s="18">
        <v>280708.96999999997</v>
      </c>
      <c r="H521" s="18">
        <v>114499.322</v>
      </c>
      <c r="I521" s="18">
        <v>5744.98</v>
      </c>
      <c r="J521" s="18">
        <v>943.57</v>
      </c>
      <c r="K521" s="18">
        <v>125</v>
      </c>
      <c r="L521" s="88">
        <f>SUM(F521:K521)</f>
        <v>899750.88199999998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0</v>
      </c>
      <c r="G522" s="18">
        <v>0</v>
      </c>
      <c r="H522" s="18">
        <v>0</v>
      </c>
      <c r="I522" s="18">
        <v>0</v>
      </c>
      <c r="J522" s="18">
        <v>0</v>
      </c>
      <c r="K522" s="18">
        <v>0</v>
      </c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0</v>
      </c>
      <c r="G523" s="18">
        <v>0</v>
      </c>
      <c r="H523" s="18">
        <v>305364.21999999997</v>
      </c>
      <c r="I523" s="18">
        <v>0</v>
      </c>
      <c r="J523" s="18">
        <v>0</v>
      </c>
      <c r="K523" s="18">
        <v>0</v>
      </c>
      <c r="L523" s="88">
        <f>SUM(F523:K523)</f>
        <v>305364.21999999997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497729.04</v>
      </c>
      <c r="G524" s="108">
        <f t="shared" ref="G524:L524" si="36">SUM(G521:G523)</f>
        <v>280708.96999999997</v>
      </c>
      <c r="H524" s="108">
        <f t="shared" si="36"/>
        <v>419863.54199999996</v>
      </c>
      <c r="I524" s="108">
        <f t="shared" si="36"/>
        <v>5744.98</v>
      </c>
      <c r="J524" s="108">
        <f t="shared" si="36"/>
        <v>943.57</v>
      </c>
      <c r="K524" s="108">
        <f t="shared" si="36"/>
        <v>125</v>
      </c>
      <c r="L524" s="89">
        <f t="shared" si="36"/>
        <v>1205115.102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129362.98</v>
      </c>
      <c r="G526" s="18">
        <v>60116.52</v>
      </c>
      <c r="H526" s="18">
        <f>5138.25+(1923.53*0.75)+3720.01+49552.98+2712.4</f>
        <v>62566.287500000006</v>
      </c>
      <c r="I526" s="18">
        <v>1816.66</v>
      </c>
      <c r="J526" s="18">
        <v>0</v>
      </c>
      <c r="K526" s="18">
        <v>0</v>
      </c>
      <c r="L526" s="88">
        <f>SUM(F526:K526)</f>
        <v>253862.44750000001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0</v>
      </c>
      <c r="G528" s="18">
        <v>0</v>
      </c>
      <c r="H528" s="18">
        <f>(1923.53*0.25)+1397.3+24894.83</f>
        <v>26773.012500000001</v>
      </c>
      <c r="I528" s="18">
        <v>0</v>
      </c>
      <c r="J528" s="18">
        <v>0</v>
      </c>
      <c r="K528" s="18">
        <v>0</v>
      </c>
      <c r="L528" s="88">
        <f>SUM(F528:K528)</f>
        <v>26773.012500000001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129362.98</v>
      </c>
      <c r="G529" s="89">
        <f t="shared" ref="G529:L529" si="37">SUM(G526:G528)</f>
        <v>60116.52</v>
      </c>
      <c r="H529" s="89">
        <f t="shared" si="37"/>
        <v>89339.3</v>
      </c>
      <c r="I529" s="89">
        <f t="shared" si="37"/>
        <v>1816.66</v>
      </c>
      <c r="J529" s="89">
        <f t="shared" si="37"/>
        <v>0</v>
      </c>
      <c r="K529" s="89">
        <f t="shared" si="37"/>
        <v>0</v>
      </c>
      <c r="L529" s="89">
        <f t="shared" si="37"/>
        <v>280635.46000000002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0</v>
      </c>
      <c r="G531" s="18">
        <v>0</v>
      </c>
      <c r="H531" s="18">
        <v>49624.98</v>
      </c>
      <c r="I531" s="18">
        <v>0</v>
      </c>
      <c r="J531" s="18">
        <v>0</v>
      </c>
      <c r="K531" s="18">
        <v>0</v>
      </c>
      <c r="L531" s="88">
        <f>SUM(F531:K531)</f>
        <v>49624.98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0</v>
      </c>
      <c r="G533" s="18">
        <v>0</v>
      </c>
      <c r="H533" s="18">
        <v>25564.38</v>
      </c>
      <c r="I533" s="18">
        <v>0</v>
      </c>
      <c r="J533" s="18">
        <v>0</v>
      </c>
      <c r="K533" s="18">
        <v>0</v>
      </c>
      <c r="L533" s="88">
        <f>SUM(F533:K533)</f>
        <v>25564.38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75189.36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75189.36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0</v>
      </c>
      <c r="G541" s="18">
        <v>0</v>
      </c>
      <c r="H541" s="18">
        <v>24948.97</v>
      </c>
      <c r="I541" s="18">
        <v>0</v>
      </c>
      <c r="J541" s="18">
        <v>0</v>
      </c>
      <c r="K541" s="18">
        <v>0</v>
      </c>
      <c r="L541" s="88">
        <f>SUM(F541:K541)</f>
        <v>24948.97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0</v>
      </c>
      <c r="G542" s="18">
        <v>0</v>
      </c>
      <c r="H542" s="18">
        <v>0</v>
      </c>
      <c r="I542" s="18">
        <v>0</v>
      </c>
      <c r="J542" s="18">
        <v>0</v>
      </c>
      <c r="K542" s="18">
        <v>0</v>
      </c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0</v>
      </c>
      <c r="G543" s="18">
        <v>0</v>
      </c>
      <c r="H543" s="18">
        <v>1950.5</v>
      </c>
      <c r="I543" s="18">
        <v>0</v>
      </c>
      <c r="J543" s="18">
        <v>0</v>
      </c>
      <c r="K543" s="18">
        <v>0</v>
      </c>
      <c r="L543" s="88">
        <f>SUM(F543:K543)</f>
        <v>1950.5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26899.47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26899.47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627092.02</v>
      </c>
      <c r="G545" s="89">
        <f t="shared" ref="G545:L545" si="41">G524+G529+G534+G539+G544</f>
        <v>340825.49</v>
      </c>
      <c r="H545" s="89">
        <f t="shared" si="41"/>
        <v>611291.6719999999</v>
      </c>
      <c r="I545" s="89">
        <f t="shared" si="41"/>
        <v>7561.6399999999994</v>
      </c>
      <c r="J545" s="89">
        <f t="shared" si="41"/>
        <v>943.57</v>
      </c>
      <c r="K545" s="89">
        <f t="shared" si="41"/>
        <v>125</v>
      </c>
      <c r="L545" s="89">
        <f t="shared" si="41"/>
        <v>1587839.392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899750.88199999998</v>
      </c>
      <c r="G549" s="87">
        <f>L526</f>
        <v>253862.44750000001</v>
      </c>
      <c r="H549" s="87">
        <f>L531</f>
        <v>49624.98</v>
      </c>
      <c r="I549" s="87">
        <f>L536</f>
        <v>0</v>
      </c>
      <c r="J549" s="87">
        <f>L541</f>
        <v>24948.97</v>
      </c>
      <c r="K549" s="87">
        <f>SUM(F549:J549)</f>
        <v>1228187.2794999999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305364.21999999997</v>
      </c>
      <c r="G551" s="87">
        <f>L528</f>
        <v>26773.012500000001</v>
      </c>
      <c r="H551" s="87">
        <f>L533</f>
        <v>25564.38</v>
      </c>
      <c r="I551" s="87">
        <f>L538</f>
        <v>0</v>
      </c>
      <c r="J551" s="87">
        <f>L543</f>
        <v>1950.5</v>
      </c>
      <c r="K551" s="87">
        <f>SUM(F551:J551)</f>
        <v>359652.11249999999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1205115.102</v>
      </c>
      <c r="G552" s="89">
        <f t="shared" si="42"/>
        <v>280635.46000000002</v>
      </c>
      <c r="H552" s="89">
        <f t="shared" si="42"/>
        <v>75189.36</v>
      </c>
      <c r="I552" s="89">
        <f t="shared" si="42"/>
        <v>0</v>
      </c>
      <c r="J552" s="89">
        <f t="shared" si="42"/>
        <v>26899.47</v>
      </c>
      <c r="K552" s="89">
        <f t="shared" si="42"/>
        <v>1587839.392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f>54478.59-750-39324.93</f>
        <v>14403.659999999996</v>
      </c>
      <c r="G575" s="18"/>
      <c r="H575" s="18">
        <f>54478.59-750-14403.66</f>
        <v>39324.929999999993</v>
      </c>
      <c r="I575" s="87">
        <f>SUM(F575:H575)</f>
        <v>53728.589999999989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3229484.75</v>
      </c>
      <c r="I577" s="87">
        <f t="shared" si="47"/>
        <v>3229484.75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f>155512.29+99261.68</f>
        <v>254773.97</v>
      </c>
      <c r="I581" s="87">
        <f t="shared" si="47"/>
        <v>254773.97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f>2774.7+86384+20700</f>
        <v>109858.7</v>
      </c>
      <c r="G582" s="18"/>
      <c r="H582" s="18">
        <f>50590.25</f>
        <v>50590.25</v>
      </c>
      <c r="I582" s="87">
        <f t="shared" si="47"/>
        <v>160448.95000000001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180856.8</v>
      </c>
      <c r="I591" s="18">
        <v>0</v>
      </c>
      <c r="J591" s="18">
        <v>135642.6</v>
      </c>
      <c r="K591" s="104">
        <f t="shared" ref="K591:K597" si="48">SUM(H591:J591)</f>
        <v>316499.40000000002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24948.97</v>
      </c>
      <c r="I592" s="18">
        <v>0</v>
      </c>
      <c r="J592" s="18">
        <v>1950.5</v>
      </c>
      <c r="K592" s="104">
        <f t="shared" si="48"/>
        <v>26899.47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4112</v>
      </c>
      <c r="I594" s="18">
        <v>0</v>
      </c>
      <c r="J594" s="18">
        <v>0</v>
      </c>
      <c r="K594" s="104">
        <f t="shared" si="48"/>
        <v>4112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209917.77</v>
      </c>
      <c r="I598" s="108">
        <f>SUM(I591:I597)</f>
        <v>0</v>
      </c>
      <c r="J598" s="108">
        <f>SUM(J591:J597)</f>
        <v>137593.1</v>
      </c>
      <c r="K598" s="108">
        <f>SUM(K591:K597)</f>
        <v>347510.87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72238.19</v>
      </c>
      <c r="I604" s="18"/>
      <c r="J604" s="18"/>
      <c r="K604" s="104">
        <f>SUM(H604:J604)</f>
        <v>72238.19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72238.19</v>
      </c>
      <c r="I605" s="108">
        <f>SUM(I602:I604)</f>
        <v>0</v>
      </c>
      <c r="J605" s="108">
        <f>SUM(J602:J604)</f>
        <v>0</v>
      </c>
      <c r="K605" s="108">
        <f>SUM(K602:K604)</f>
        <v>72238.19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6480+9420</f>
        <v>15900</v>
      </c>
      <c r="G611" s="18">
        <f>720.67+482.56+799.18+1346.03</f>
        <v>3348.4399999999996</v>
      </c>
      <c r="H611" s="18">
        <f>2639.1</f>
        <v>2639.1</v>
      </c>
      <c r="I611" s="18">
        <f>12+104.43+57.67+12.35</f>
        <v>186.45000000000002</v>
      </c>
      <c r="J611" s="18">
        <v>0</v>
      </c>
      <c r="K611" s="18">
        <v>0</v>
      </c>
      <c r="L611" s="88">
        <f>SUM(F611:K611)</f>
        <v>22073.989999999998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0</v>
      </c>
      <c r="G613" s="18">
        <v>0</v>
      </c>
      <c r="H613" s="18">
        <v>1183.8699999999999</v>
      </c>
      <c r="I613" s="18">
        <v>0</v>
      </c>
      <c r="J613" s="18">
        <v>0</v>
      </c>
      <c r="K613" s="18">
        <v>0</v>
      </c>
      <c r="L613" s="88">
        <f>SUM(F613:K613)</f>
        <v>1183.8699999999999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15900</v>
      </c>
      <c r="G614" s="108">
        <f t="shared" si="49"/>
        <v>3348.4399999999996</v>
      </c>
      <c r="H614" s="108">
        <f t="shared" si="49"/>
        <v>3822.97</v>
      </c>
      <c r="I614" s="108">
        <f t="shared" si="49"/>
        <v>186.45000000000002</v>
      </c>
      <c r="J614" s="108">
        <f t="shared" si="49"/>
        <v>0</v>
      </c>
      <c r="K614" s="108">
        <f t="shared" si="49"/>
        <v>0</v>
      </c>
      <c r="L614" s="89">
        <f t="shared" si="49"/>
        <v>23257.859999999997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577657.76</v>
      </c>
      <c r="H617" s="109">
        <f>SUM(F52)</f>
        <v>577657.76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48037.97</v>
      </c>
      <c r="H618" s="109">
        <f>SUM(G52)</f>
        <v>48037.97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472385.34</v>
      </c>
      <c r="H621" s="109">
        <f>SUM(J52)</f>
        <v>472385.34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471025.7</v>
      </c>
      <c r="H622" s="109">
        <f>F476</f>
        <v>471025.69999999925</v>
      </c>
      <c r="I622" s="121" t="s">
        <v>101</v>
      </c>
      <c r="J622" s="109">
        <f t="shared" ref="J622:J655" si="50">G622-H622</f>
        <v>7.5669959187507629E-10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44991.39</v>
      </c>
      <c r="H623" s="109">
        <f>G476</f>
        <v>44991.390000000014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472385.34</v>
      </c>
      <c r="H626" s="109">
        <f>J476</f>
        <v>472385.34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9683311.0999999978</v>
      </c>
      <c r="H627" s="104">
        <f>SUM(F468)</f>
        <v>9683311.0999999996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182805.74</v>
      </c>
      <c r="H628" s="104">
        <f>SUM(G468)</f>
        <v>182805.74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53050.46</v>
      </c>
      <c r="H631" s="104">
        <f>SUM(J468)</f>
        <v>53050.46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10043003.34</v>
      </c>
      <c r="H632" s="104">
        <f>SUM(F472)</f>
        <v>10043003.34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68992.55</v>
      </c>
      <c r="H634" s="104">
        <f>I369</f>
        <v>68992.55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150134.63999999998</v>
      </c>
      <c r="H635" s="104">
        <f>SUM(G472)</f>
        <v>150134.63999999998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53050.46</v>
      </c>
      <c r="H637" s="164">
        <f>SUM(J468)</f>
        <v>53050.46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472385.34</v>
      </c>
      <c r="H639" s="104">
        <f>SUM(F461)</f>
        <v>472385.34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472385.34</v>
      </c>
      <c r="H642" s="104">
        <f>SUM(I461)</f>
        <v>472385.34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3050.46</v>
      </c>
      <c r="H644" s="104">
        <f>H408</f>
        <v>3050.46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50000</v>
      </c>
      <c r="H645" s="104">
        <f>G408</f>
        <v>50000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53050.46</v>
      </c>
      <c r="H646" s="104">
        <f>L408</f>
        <v>53050.46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347510.87</v>
      </c>
      <c r="H647" s="104">
        <f>L208+L226+L244</f>
        <v>347510.87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72238.19</v>
      </c>
      <c r="H648" s="104">
        <f>(J257+J338)-(J255+J336)</f>
        <v>72238.189999999988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209917.77</v>
      </c>
      <c r="H649" s="104">
        <f>H598</f>
        <v>209917.77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137593.1</v>
      </c>
      <c r="H651" s="104">
        <f>J598</f>
        <v>137593.1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39517.15</v>
      </c>
      <c r="H652" s="104">
        <f>K263+K345</f>
        <v>39517.15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50000</v>
      </c>
      <c r="H655" s="104">
        <f>K266+K347</f>
        <v>50000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5845929.9999999991</v>
      </c>
      <c r="G660" s="19">
        <f>(L229+L309+L359)</f>
        <v>0</v>
      </c>
      <c r="H660" s="19">
        <f>(L247+L328+L360)</f>
        <v>3849764.9700000007</v>
      </c>
      <c r="I660" s="19">
        <f>SUM(F660:H660)</f>
        <v>9695694.9699999988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104788.42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104788.42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209917.77</v>
      </c>
      <c r="G662" s="19">
        <f>(L226+L306)-(J226+J306)</f>
        <v>0</v>
      </c>
      <c r="H662" s="19">
        <f>(L244+L325)-(J244+J325)</f>
        <v>137593.1</v>
      </c>
      <c r="I662" s="19">
        <f>SUM(F662:H662)</f>
        <v>347510.87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218574.53999999998</v>
      </c>
      <c r="G663" s="199">
        <f>SUM(G575:G587)+SUM(I602:I604)+L612</f>
        <v>0</v>
      </c>
      <c r="H663" s="199">
        <f>SUM(H575:H587)+SUM(J602:J604)+L613</f>
        <v>3575357.7700000005</v>
      </c>
      <c r="I663" s="19">
        <f>SUM(F663:H663)</f>
        <v>3793932.3100000005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5312649.2699999996</v>
      </c>
      <c r="G664" s="19">
        <f>G660-SUM(G661:G663)</f>
        <v>0</v>
      </c>
      <c r="H664" s="19">
        <f>H660-SUM(H661:H663)</f>
        <v>136814.10000000009</v>
      </c>
      <c r="I664" s="19">
        <f>I660-SUM(I661:I663)</f>
        <v>5449463.3699999982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391.43</v>
      </c>
      <c r="G665" s="248"/>
      <c r="H665" s="248"/>
      <c r="I665" s="19">
        <f>SUM(F665:H665)</f>
        <v>391.43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13572.41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13921.94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-136814.1</v>
      </c>
      <c r="I669" s="19">
        <f>SUM(F669:H669)</f>
        <v>-136814.1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13572.41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13572.41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Strafford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1800560.02</v>
      </c>
      <c r="C9" s="229">
        <f>'DOE25'!G197+'DOE25'!G215+'DOE25'!G233+'DOE25'!G276+'DOE25'!G295+'DOE25'!G314</f>
        <v>839651.83999999997</v>
      </c>
    </row>
    <row r="10" spans="1:3" x14ac:dyDescent="0.2">
      <c r="A10" t="s">
        <v>778</v>
      </c>
      <c r="B10" s="240">
        <v>1729316.76</v>
      </c>
      <c r="C10" s="240">
        <v>822078.78</v>
      </c>
    </row>
    <row r="11" spans="1:3" x14ac:dyDescent="0.2">
      <c r="A11" t="s">
        <v>779</v>
      </c>
      <c r="B11" s="240">
        <v>20629.580000000002</v>
      </c>
      <c r="C11" s="240">
        <v>14165.93</v>
      </c>
    </row>
    <row r="12" spans="1:3" x14ac:dyDescent="0.2">
      <c r="A12" t="s">
        <v>780</v>
      </c>
      <c r="B12" s="240">
        <f>6669.1+1323.56+42621.02</f>
        <v>50613.679999999993</v>
      </c>
      <c r="C12" s="240">
        <v>3407.13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1800560.02</v>
      </c>
      <c r="C13" s="231">
        <f>SUM(C10:C12)</f>
        <v>839651.84000000008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497729.04</v>
      </c>
      <c r="C18" s="229">
        <f>'DOE25'!G198+'DOE25'!G216+'DOE25'!G234+'DOE25'!G277+'DOE25'!G296+'DOE25'!G315</f>
        <v>280708.96999999997</v>
      </c>
    </row>
    <row r="19" spans="1:3" x14ac:dyDescent="0.2">
      <c r="A19" t="s">
        <v>778</v>
      </c>
      <c r="B19" s="240">
        <v>172711.1</v>
      </c>
      <c r="C19" s="240">
        <v>97811.6</v>
      </c>
    </row>
    <row r="20" spans="1:3" x14ac:dyDescent="0.2">
      <c r="A20" t="s">
        <v>779</v>
      </c>
      <c r="B20" s="240">
        <v>261172.77</v>
      </c>
      <c r="C20" s="240">
        <v>174857.57</v>
      </c>
    </row>
    <row r="21" spans="1:3" x14ac:dyDescent="0.2">
      <c r="A21" t="s">
        <v>780</v>
      </c>
      <c r="B21" s="240">
        <f>10000+30907.2+4935+7700+9119.1+1183.87</f>
        <v>63845.17</v>
      </c>
      <c r="C21" s="240">
        <v>8039.8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497729.04</v>
      </c>
      <c r="C22" s="231">
        <f>SUM(C19:C21)</f>
        <v>280708.97000000003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>
        <v>0</v>
      </c>
      <c r="C28" s="240">
        <v>0</v>
      </c>
    </row>
    <row r="29" spans="1:3" x14ac:dyDescent="0.2">
      <c r="A29" t="s">
        <v>779</v>
      </c>
      <c r="B29" s="240">
        <v>0</v>
      </c>
      <c r="C29" s="240">
        <v>0</v>
      </c>
    </row>
    <row r="30" spans="1:3" x14ac:dyDescent="0.2">
      <c r="A30" t="s">
        <v>780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38371.449999999997</v>
      </c>
      <c r="C36" s="235">
        <f>'DOE25'!G200+'DOE25'!G218+'DOE25'!G236+'DOE25'!G279+'DOE25'!G298+'DOE25'!G317</f>
        <v>6549.54</v>
      </c>
    </row>
    <row r="37" spans="1:3" x14ac:dyDescent="0.2">
      <c r="A37" t="s">
        <v>778</v>
      </c>
      <c r="B37" s="240">
        <v>20681.45</v>
      </c>
      <c r="C37" s="240">
        <v>4772.84</v>
      </c>
    </row>
    <row r="38" spans="1:3" x14ac:dyDescent="0.2">
      <c r="A38" t="s">
        <v>779</v>
      </c>
      <c r="B38" s="240">
        <v>6290</v>
      </c>
      <c r="C38" s="240">
        <v>904.59</v>
      </c>
    </row>
    <row r="39" spans="1:3" x14ac:dyDescent="0.2">
      <c r="A39" t="s">
        <v>780</v>
      </c>
      <c r="B39" s="240">
        <v>11400</v>
      </c>
      <c r="C39" s="240">
        <v>872.11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38371.449999999997</v>
      </c>
      <c r="C40" s="231">
        <f>SUM(C37:C39)</f>
        <v>6549.54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Strafford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7322733.5899999999</v>
      </c>
      <c r="D5" s="20">
        <f>SUM('DOE25'!L197:L200)+SUM('DOE25'!L215:L218)+SUM('DOE25'!L233:L236)-F5-G5</f>
        <v>7253310.25</v>
      </c>
      <c r="E5" s="243"/>
      <c r="F5" s="255">
        <f>SUM('DOE25'!J197:J200)+SUM('DOE25'!J215:J218)+SUM('DOE25'!J233:J236)</f>
        <v>68533.06</v>
      </c>
      <c r="G5" s="53">
        <f>SUM('DOE25'!K197:K200)+SUM('DOE25'!K215:K218)+SUM('DOE25'!K233:K236)</f>
        <v>890.28</v>
      </c>
      <c r="H5" s="259"/>
    </row>
    <row r="6" spans="1:9" x14ac:dyDescent="0.2">
      <c r="A6" s="32">
        <v>2100</v>
      </c>
      <c r="B6" t="s">
        <v>800</v>
      </c>
      <c r="C6" s="245">
        <f t="shared" si="0"/>
        <v>423829.6</v>
      </c>
      <c r="D6" s="20">
        <f>'DOE25'!L202+'DOE25'!L220+'DOE25'!L238-F6-G6</f>
        <v>421679.14999999997</v>
      </c>
      <c r="E6" s="243"/>
      <c r="F6" s="255">
        <f>'DOE25'!J202+'DOE25'!J220+'DOE25'!J238</f>
        <v>2150.4499999999998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152116.16</v>
      </c>
      <c r="D7" s="20">
        <f>'DOE25'!L203+'DOE25'!L221+'DOE25'!L239-F7-G7</f>
        <v>152116.16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275642.32</v>
      </c>
      <c r="D8" s="243"/>
      <c r="E8" s="20">
        <f>'DOE25'!L204+'DOE25'!L222+'DOE25'!L240-F8-G8-D9-D11</f>
        <v>268644.41000000003</v>
      </c>
      <c r="F8" s="255">
        <f>'DOE25'!J204+'DOE25'!J222+'DOE25'!J240</f>
        <v>0</v>
      </c>
      <c r="G8" s="53">
        <f>'DOE25'!K204+'DOE25'!K222+'DOE25'!K240</f>
        <v>6997.91</v>
      </c>
      <c r="H8" s="259"/>
    </row>
    <row r="9" spans="1:9" x14ac:dyDescent="0.2">
      <c r="A9" s="32">
        <v>2310</v>
      </c>
      <c r="B9" t="s">
        <v>817</v>
      </c>
      <c r="C9" s="245">
        <f t="shared" si="0"/>
        <v>37402.379999999997</v>
      </c>
      <c r="D9" s="244">
        <f>46902.38-9500</f>
        <v>37402.379999999997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9500</v>
      </c>
      <c r="D10" s="243"/>
      <c r="E10" s="244">
        <v>9500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92831.679999999993</v>
      </c>
      <c r="D11" s="244">
        <v>92831.679999999993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454435.66</v>
      </c>
      <c r="D12" s="20">
        <f>'DOE25'!L205+'DOE25'!L223+'DOE25'!L241-F12-G12</f>
        <v>451131.54</v>
      </c>
      <c r="E12" s="243"/>
      <c r="F12" s="255">
        <f>'DOE25'!J205+'DOE25'!J223+'DOE25'!J241</f>
        <v>0</v>
      </c>
      <c r="G12" s="53">
        <f>'DOE25'!K205+'DOE25'!K223+'DOE25'!K241</f>
        <v>3304.12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439221.43000000005</v>
      </c>
      <c r="D14" s="20">
        <f>'DOE25'!L207+'DOE25'!L225+'DOE25'!L243-F14-G14</f>
        <v>437666.75000000006</v>
      </c>
      <c r="E14" s="243"/>
      <c r="F14" s="255">
        <f>'DOE25'!J207+'DOE25'!J225+'DOE25'!J243</f>
        <v>1554.68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347510.87</v>
      </c>
      <c r="D15" s="20">
        <f>'DOE25'!L208+'DOE25'!L226+'DOE25'!L244-F15-G15</f>
        <v>347510.87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407012.5</v>
      </c>
      <c r="D25" s="243"/>
      <c r="E25" s="243"/>
      <c r="F25" s="258"/>
      <c r="G25" s="256"/>
      <c r="H25" s="257">
        <f>'DOE25'!L260+'DOE25'!L261+'DOE25'!L341+'DOE25'!L342</f>
        <v>407012.5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84154.92</v>
      </c>
      <c r="D29" s="20">
        <f>'DOE25'!L358+'DOE25'!L359+'DOE25'!L360-'DOE25'!I367-F29-G29</f>
        <v>83902.42</v>
      </c>
      <c r="E29" s="243"/>
      <c r="F29" s="255">
        <f>'DOE25'!J358+'DOE25'!J359+'DOE25'!J360</f>
        <v>200</v>
      </c>
      <c r="G29" s="53">
        <f>'DOE25'!K358+'DOE25'!K359+'DOE25'!K360</f>
        <v>52.5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9277551.1999999993</v>
      </c>
      <c r="E33" s="246">
        <f>SUM(E5:E31)</f>
        <v>278144.41000000003</v>
      </c>
      <c r="F33" s="246">
        <f>SUM(F5:F31)</f>
        <v>72438.189999999988</v>
      </c>
      <c r="G33" s="246">
        <f>SUM(G5:G31)</f>
        <v>11244.81</v>
      </c>
      <c r="H33" s="246">
        <f>SUM(H5:H31)</f>
        <v>407012.5</v>
      </c>
    </row>
    <row r="35" spans="2:8" ht="12" thickBot="1" x14ac:dyDescent="0.25">
      <c r="B35" s="253" t="s">
        <v>846</v>
      </c>
      <c r="D35" s="254">
        <f>E33</f>
        <v>278144.41000000003</v>
      </c>
      <c r="E35" s="249"/>
    </row>
    <row r="36" spans="2:8" ht="12" thickTop="1" x14ac:dyDescent="0.2">
      <c r="B36" t="s">
        <v>814</v>
      </c>
      <c r="D36" s="20">
        <f>D33</f>
        <v>9277551.1999999993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Strafford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555693.26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472385.34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8692.57</v>
      </c>
      <c r="D11" s="95">
        <f>'DOE25'!G12</f>
        <v>32227.010000000002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10669.130000000001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15810.96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2602.8000000000002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577657.76</v>
      </c>
      <c r="D18" s="41">
        <f>SUM(D8:D17)</f>
        <v>48037.97</v>
      </c>
      <c r="E18" s="41">
        <f>SUM(E8:E17)</f>
        <v>0</v>
      </c>
      <c r="F18" s="41">
        <f>SUM(F8:F17)</f>
        <v>0</v>
      </c>
      <c r="G18" s="41">
        <f>SUM(G8:G17)</f>
        <v>472385.34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32227.01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74405.05</v>
      </c>
      <c r="D23" s="95">
        <f>'DOE25'!G24</f>
        <v>3046.58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106632.06</v>
      </c>
      <c r="D31" s="41">
        <f>SUM(D21:D30)</f>
        <v>3046.58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15810.96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29180.43</v>
      </c>
      <c r="E47" s="95">
        <f>'DOE25'!H48</f>
        <v>0</v>
      </c>
      <c r="F47" s="95">
        <f>'DOE25'!I48</f>
        <v>0</v>
      </c>
      <c r="G47" s="95">
        <f>'DOE25'!J48</f>
        <v>472385.34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421025.7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471025.7</v>
      </c>
      <c r="D50" s="41">
        <f>SUM(D34:D49)</f>
        <v>44991.39</v>
      </c>
      <c r="E50" s="41">
        <f>SUM(E34:E49)</f>
        <v>0</v>
      </c>
      <c r="F50" s="41">
        <f>SUM(F34:F49)</f>
        <v>0</v>
      </c>
      <c r="G50" s="41">
        <f>SUM(G34:G49)</f>
        <v>472385.34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577657.76</v>
      </c>
      <c r="D51" s="41">
        <f>D50+D31</f>
        <v>48037.97</v>
      </c>
      <c r="E51" s="41">
        <f>E50+E31</f>
        <v>0</v>
      </c>
      <c r="F51" s="41">
        <f>F50+F31</f>
        <v>0</v>
      </c>
      <c r="G51" s="41">
        <f>G50+G31</f>
        <v>472385.34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6437853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1885.13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98.57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3050.46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104788.42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6372.2000000000007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8355.9000000000015</v>
      </c>
      <c r="D62" s="130">
        <f>SUM(D57:D61)</f>
        <v>104788.42</v>
      </c>
      <c r="E62" s="130">
        <f>SUM(E57:E61)</f>
        <v>0</v>
      </c>
      <c r="F62" s="130">
        <f>SUM(F57:F61)</f>
        <v>0</v>
      </c>
      <c r="G62" s="130">
        <f>SUM(G57:G61)</f>
        <v>3050.46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6446208.9000000004</v>
      </c>
      <c r="D63" s="22">
        <f>D56+D62</f>
        <v>104788.42</v>
      </c>
      <c r="E63" s="22">
        <f>E56+E62</f>
        <v>0</v>
      </c>
      <c r="F63" s="22">
        <f>F56+F62</f>
        <v>0</v>
      </c>
      <c r="G63" s="22">
        <f>G56+G62</f>
        <v>3050.46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2082685.41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1029467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3112152.41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66982.5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2525.11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66982.5</v>
      </c>
      <c r="D78" s="130">
        <f>SUM(D72:D77)</f>
        <v>2525.11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3179134.91</v>
      </c>
      <c r="D81" s="130">
        <f>SUM(D79:D80)+D78+D70</f>
        <v>2525.11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57803.93</v>
      </c>
      <c r="D88" s="95">
        <f>SUM('DOE25'!G153:G161)</f>
        <v>35975.06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57803.93</v>
      </c>
      <c r="D91" s="131">
        <f>SUM(D85:D90)</f>
        <v>35975.06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39517.15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757</v>
      </c>
      <c r="B97" s="32" t="s">
        <v>188</v>
      </c>
      <c r="C97" s="95">
        <f>SUM('DOE25'!F180:F181)</f>
        <v>163.36000000000001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163.36000000000001</v>
      </c>
      <c r="D103" s="86">
        <f>SUM(D93:D102)</f>
        <v>39517.15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764</v>
      </c>
      <c r="C104" s="86">
        <f>C63+C81+C91+C103</f>
        <v>9683311.0999999996</v>
      </c>
      <c r="D104" s="86">
        <f>D63+D81+D91+D103</f>
        <v>182805.74</v>
      </c>
      <c r="E104" s="86">
        <f>E63+E81+E91+E103</f>
        <v>0</v>
      </c>
      <c r="F104" s="86">
        <f>F63+F81+F91+F103</f>
        <v>0</v>
      </c>
      <c r="G104" s="86">
        <f>G63+G81+G103</f>
        <v>53050.46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6059051.6299999999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1205115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58566.96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7322733.5899999999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423829.6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152116.16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405876.38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454435.66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439221.43000000005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347510.87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149971.28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2222990.1</v>
      </c>
      <c r="D128" s="86">
        <f>SUM(D118:D127)</f>
        <v>149971.28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205000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202012.5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163.36000000000001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39517.15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53050.46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-3050.4599999999991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750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497279.65</v>
      </c>
      <c r="D144" s="141">
        <f>SUM(D130:D143)</f>
        <v>163.36000000000001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10043003.34</v>
      </c>
      <c r="D145" s="86">
        <f>(D115+D128+D144)</f>
        <v>150134.63999999998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08/10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08/30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5600000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3.9851000000000001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4305000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4305000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205000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205000</v>
      </c>
    </row>
    <row r="159" spans="1:9" x14ac:dyDescent="0.2">
      <c r="A159" s="22" t="s">
        <v>35</v>
      </c>
      <c r="B159" s="137">
        <f>'DOE25'!F498</f>
        <v>4100000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4100000</v>
      </c>
    </row>
    <row r="160" spans="1:9" x14ac:dyDescent="0.2">
      <c r="A160" s="22" t="s">
        <v>36</v>
      </c>
      <c r="B160" s="137">
        <f>'DOE25'!F499</f>
        <v>1363182.25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1363182.25</v>
      </c>
    </row>
    <row r="161" spans="1:7" x14ac:dyDescent="0.2">
      <c r="A161" s="22" t="s">
        <v>37</v>
      </c>
      <c r="B161" s="137">
        <f>'DOE25'!F500</f>
        <v>5463182.25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5463182.25</v>
      </c>
    </row>
    <row r="162" spans="1:7" x14ac:dyDescent="0.2">
      <c r="A162" s="22" t="s">
        <v>38</v>
      </c>
      <c r="B162" s="137">
        <f>'DOE25'!F501</f>
        <v>210000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210000</v>
      </c>
    </row>
    <row r="163" spans="1:7" x14ac:dyDescent="0.2">
      <c r="A163" s="22" t="s">
        <v>39</v>
      </c>
      <c r="B163" s="137">
        <f>'DOE25'!F502</f>
        <v>193687.5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193687.5</v>
      </c>
    </row>
    <row r="164" spans="1:7" x14ac:dyDescent="0.2">
      <c r="A164" s="22" t="s">
        <v>246</v>
      </c>
      <c r="B164" s="137">
        <f>'DOE25'!F503</f>
        <v>403687.5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403687.5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Strafford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13572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13572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6059052</v>
      </c>
      <c r="D10" s="182">
        <f>ROUND((C10/$C$28)*100,1)</f>
        <v>61.9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1205115</v>
      </c>
      <c r="D11" s="182">
        <f>ROUND((C11/$C$28)*100,1)</f>
        <v>12.3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58567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423830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152116</v>
      </c>
      <c r="D16" s="182">
        <f t="shared" si="0"/>
        <v>1.6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405876</v>
      </c>
      <c r="D17" s="182">
        <f t="shared" si="0"/>
        <v>4.0999999999999996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454436</v>
      </c>
      <c r="D18" s="182">
        <f t="shared" si="0"/>
        <v>4.5999999999999996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439221</v>
      </c>
      <c r="D20" s="182">
        <f t="shared" si="0"/>
        <v>4.5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347511</v>
      </c>
      <c r="D21" s="182">
        <f t="shared" si="0"/>
        <v>3.5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202013</v>
      </c>
      <c r="D25" s="182">
        <f t="shared" si="0"/>
        <v>2.1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750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45182.58</v>
      </c>
      <c r="D27" s="182">
        <f t="shared" si="0"/>
        <v>0.5</v>
      </c>
    </row>
    <row r="28" spans="1:4" x14ac:dyDescent="0.2">
      <c r="B28" s="187" t="s">
        <v>722</v>
      </c>
      <c r="C28" s="180">
        <f>SUM(C10:C27)</f>
        <v>9793669.5800000001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9793669.5800000001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205000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6437853</v>
      </c>
      <c r="D35" s="182">
        <f t="shared" ref="D35:D40" si="1">ROUND((C35/$C$41)*100,1)</f>
        <v>66.2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11406.359999999404</v>
      </c>
      <c r="D36" s="182">
        <f t="shared" si="1"/>
        <v>0.1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3112152</v>
      </c>
      <c r="D37" s="182">
        <f t="shared" si="1"/>
        <v>32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69508</v>
      </c>
      <c r="D38" s="182">
        <f t="shared" si="1"/>
        <v>0.7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93779</v>
      </c>
      <c r="D39" s="182">
        <f t="shared" si="1"/>
        <v>1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9724698.3599999994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Strafford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2017-08-23T19:06:36Z</cp:lastPrinted>
  <dcterms:created xsi:type="dcterms:W3CDTF">1997-12-04T19:04:30Z</dcterms:created>
  <dcterms:modified xsi:type="dcterms:W3CDTF">2017-11-29T18:06:37Z</dcterms:modified>
</cp:coreProperties>
</file>