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31" i="1" l="1"/>
  <c r="B19" i="12"/>
  <c r="C19" i="12"/>
  <c r="C10" i="12"/>
  <c r="B10" i="12"/>
  <c r="H526" i="1"/>
  <c r="H528" i="1"/>
  <c r="H523" i="1"/>
  <c r="H521" i="1"/>
  <c r="G521" i="1"/>
  <c r="F521" i="1"/>
  <c r="H281" i="1" l="1"/>
  <c r="H277" i="1"/>
  <c r="K276" i="1"/>
  <c r="J276" i="1"/>
  <c r="H276" i="1"/>
  <c r="I276" i="1"/>
  <c r="G276" i="1"/>
  <c r="H197" i="1"/>
  <c r="H244" i="1"/>
  <c r="H208" i="1"/>
  <c r="J207" i="1"/>
  <c r="I207" i="1"/>
  <c r="H207" i="1"/>
  <c r="G207" i="1"/>
  <c r="F207" i="1"/>
  <c r="K205" i="1"/>
  <c r="I205" i="1"/>
  <c r="H205" i="1"/>
  <c r="G205" i="1"/>
  <c r="F205" i="1"/>
  <c r="I203" i="1"/>
  <c r="H203" i="1"/>
  <c r="G203" i="1"/>
  <c r="F203" i="1"/>
  <c r="H202" i="1"/>
  <c r="I202" i="1"/>
  <c r="G202" i="1"/>
  <c r="F202" i="1"/>
  <c r="K200" i="1"/>
  <c r="I200" i="1"/>
  <c r="G200" i="1"/>
  <c r="F200" i="1"/>
  <c r="H198" i="1"/>
  <c r="H234" i="1"/>
  <c r="G198" i="1"/>
  <c r="F198" i="1"/>
  <c r="H233" i="1"/>
  <c r="G197" i="1"/>
  <c r="F197" i="1"/>
  <c r="J197" i="1"/>
  <c r="I197" i="1"/>
  <c r="K197" i="1"/>
  <c r="G158" i="1"/>
  <c r="F12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C16" i="10" s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C124" i="2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C11" i="10" s="1"/>
  <c r="L278" i="1"/>
  <c r="L279" i="1"/>
  <c r="L281" i="1"/>
  <c r="C15" i="10" s="1"/>
  <c r="L282" i="1"/>
  <c r="L283" i="1"/>
  <c r="L284" i="1"/>
  <c r="L285" i="1"/>
  <c r="L286" i="1"/>
  <c r="L287" i="1"/>
  <c r="F662" i="1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G661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D18" i="2" s="1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1" i="2" s="1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C114" i="2"/>
  <c r="E114" i="2"/>
  <c r="D115" i="2"/>
  <c r="F115" i="2"/>
  <c r="G115" i="2"/>
  <c r="E119" i="2"/>
  <c r="E120" i="2"/>
  <c r="E121" i="2"/>
  <c r="C122" i="2"/>
  <c r="E122" i="2"/>
  <c r="C123" i="2"/>
  <c r="E123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L270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F461" i="1"/>
  <c r="G461" i="1"/>
  <c r="H640" i="1" s="1"/>
  <c r="H461" i="1"/>
  <c r="F470" i="1"/>
  <c r="G470" i="1"/>
  <c r="G476" i="1" s="1"/>
  <c r="H623" i="1" s="1"/>
  <c r="J623" i="1" s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J524" i="1"/>
  <c r="K524" i="1"/>
  <c r="F529" i="1"/>
  <c r="G529" i="1"/>
  <c r="H529" i="1"/>
  <c r="H545" i="1" s="1"/>
  <c r="I529" i="1"/>
  <c r="J529" i="1"/>
  <c r="K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J617" i="1" s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1" i="1"/>
  <c r="H641" i="1"/>
  <c r="G643" i="1"/>
  <c r="H643" i="1"/>
  <c r="G644" i="1"/>
  <c r="G645" i="1"/>
  <c r="H645" i="1"/>
  <c r="G649" i="1"/>
  <c r="J649" i="1" s="1"/>
  <c r="G650" i="1"/>
  <c r="G652" i="1"/>
  <c r="H652" i="1"/>
  <c r="G653" i="1"/>
  <c r="H653" i="1"/>
  <c r="G654" i="1"/>
  <c r="H654" i="1"/>
  <c r="H655" i="1"/>
  <c r="J655" i="1" s="1"/>
  <c r="F192" i="1"/>
  <c r="G164" i="2"/>
  <c r="C18" i="2"/>
  <c r="C26" i="10"/>
  <c r="L328" i="1"/>
  <c r="L351" i="1"/>
  <c r="A31" i="12"/>
  <c r="C70" i="2"/>
  <c r="A40" i="12"/>
  <c r="D18" i="13"/>
  <c r="C18" i="13" s="1"/>
  <c r="D7" i="13"/>
  <c r="C7" i="13" s="1"/>
  <c r="D17" i="13"/>
  <c r="C17" i="13" s="1"/>
  <c r="F78" i="2"/>
  <c r="F81" i="2" s="1"/>
  <c r="D31" i="2"/>
  <c r="C78" i="2"/>
  <c r="D50" i="2"/>
  <c r="G157" i="2"/>
  <c r="F18" i="2"/>
  <c r="G161" i="2"/>
  <c r="G156" i="2"/>
  <c r="E103" i="2"/>
  <c r="E62" i="2"/>
  <c r="E63" i="2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J641" i="1"/>
  <c r="J639" i="1"/>
  <c r="K605" i="1"/>
  <c r="G648" i="1" s="1"/>
  <c r="J571" i="1"/>
  <c r="K571" i="1"/>
  <c r="L433" i="1"/>
  <c r="L419" i="1"/>
  <c r="D81" i="2"/>
  <c r="I169" i="1"/>
  <c r="H169" i="1"/>
  <c r="J643" i="1"/>
  <c r="I476" i="1"/>
  <c r="H625" i="1" s="1"/>
  <c r="J625" i="1" s="1"/>
  <c r="G338" i="1"/>
  <c r="G352" i="1" s="1"/>
  <c r="F169" i="1"/>
  <c r="J140" i="1"/>
  <c r="F571" i="1"/>
  <c r="I552" i="1"/>
  <c r="K550" i="1"/>
  <c r="G22" i="2"/>
  <c r="H552" i="1"/>
  <c r="C29" i="10"/>
  <c r="H140" i="1"/>
  <c r="L393" i="1"/>
  <c r="F22" i="13"/>
  <c r="C22" i="13" s="1"/>
  <c r="H25" i="13"/>
  <c r="C25" i="13" s="1"/>
  <c r="J634" i="1"/>
  <c r="H571" i="1"/>
  <c r="L560" i="1"/>
  <c r="J545" i="1"/>
  <c r="F338" i="1"/>
  <c r="F352" i="1" s="1"/>
  <c r="G192" i="1"/>
  <c r="H192" i="1"/>
  <c r="F552" i="1"/>
  <c r="C35" i="10"/>
  <c r="L309" i="1"/>
  <c r="E16" i="13"/>
  <c r="J645" i="1"/>
  <c r="L570" i="1"/>
  <c r="I571" i="1"/>
  <c r="I545" i="1"/>
  <c r="J636" i="1"/>
  <c r="G36" i="2"/>
  <c r="L565" i="1"/>
  <c r="C138" i="2"/>
  <c r="C16" i="13"/>
  <c r="H33" i="13"/>
  <c r="J640" i="1" l="1"/>
  <c r="J644" i="1"/>
  <c r="K598" i="1"/>
  <c r="G647" i="1" s="1"/>
  <c r="J647" i="1" s="1"/>
  <c r="L544" i="1"/>
  <c r="L534" i="1"/>
  <c r="K549" i="1"/>
  <c r="K551" i="1"/>
  <c r="L529" i="1"/>
  <c r="L524" i="1"/>
  <c r="I460" i="1"/>
  <c r="I461" i="1" s="1"/>
  <c r="H642" i="1" s="1"/>
  <c r="I446" i="1"/>
  <c r="G642" i="1" s="1"/>
  <c r="F661" i="1"/>
  <c r="I661" i="1" s="1"/>
  <c r="D145" i="2"/>
  <c r="L362" i="1"/>
  <c r="C27" i="10" s="1"/>
  <c r="D29" i="13"/>
  <c r="C29" i="13" s="1"/>
  <c r="E124" i="2"/>
  <c r="E118" i="2"/>
  <c r="E128" i="2" s="1"/>
  <c r="E145" i="2" s="1"/>
  <c r="E115" i="2"/>
  <c r="K338" i="1"/>
  <c r="K352" i="1" s="1"/>
  <c r="L290" i="1"/>
  <c r="F660" i="1" s="1"/>
  <c r="F664" i="1" s="1"/>
  <c r="L247" i="1"/>
  <c r="H662" i="1"/>
  <c r="I662" i="1" s="1"/>
  <c r="D15" i="13"/>
  <c r="C15" i="13" s="1"/>
  <c r="H647" i="1"/>
  <c r="C21" i="10"/>
  <c r="G651" i="1"/>
  <c r="J651" i="1" s="1"/>
  <c r="C121" i="2"/>
  <c r="D12" i="13"/>
  <c r="C12" i="13" s="1"/>
  <c r="K257" i="1"/>
  <c r="K271" i="1" s="1"/>
  <c r="L211" i="1"/>
  <c r="L257" i="1" s="1"/>
  <c r="L271" i="1" s="1"/>
  <c r="G632" i="1" s="1"/>
  <c r="J632" i="1" s="1"/>
  <c r="E8" i="13"/>
  <c r="C8" i="13" s="1"/>
  <c r="C120" i="2"/>
  <c r="C128" i="2" s="1"/>
  <c r="C119" i="2"/>
  <c r="D6" i="13"/>
  <c r="C6" i="13" s="1"/>
  <c r="C110" i="2"/>
  <c r="H257" i="1"/>
  <c r="H271" i="1" s="1"/>
  <c r="C10" i="10"/>
  <c r="C109" i="2"/>
  <c r="D5" i="13"/>
  <c r="C5" i="13" s="1"/>
  <c r="H660" i="1"/>
  <c r="F476" i="1"/>
  <c r="H622" i="1" s="1"/>
  <c r="J622" i="1" s="1"/>
  <c r="H476" i="1"/>
  <c r="H624" i="1" s="1"/>
  <c r="J624" i="1" s="1"/>
  <c r="C81" i="2"/>
  <c r="H664" i="1"/>
  <c r="H672" i="1" s="1"/>
  <c r="C6" i="10" s="1"/>
  <c r="F112" i="1"/>
  <c r="C36" i="10" s="1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667" i="1"/>
  <c r="G672" i="1"/>
  <c r="C5" i="10" s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I663" i="1"/>
  <c r="G635" i="1"/>
  <c r="J635" i="1" s="1"/>
  <c r="J642" i="1" l="1"/>
  <c r="K552" i="1"/>
  <c r="L545" i="1"/>
  <c r="H646" i="1"/>
  <c r="H667" i="1"/>
  <c r="L338" i="1"/>
  <c r="L352" i="1" s="1"/>
  <c r="G633" i="1" s="1"/>
  <c r="J633" i="1" s="1"/>
  <c r="D31" i="13"/>
  <c r="C31" i="13" s="1"/>
  <c r="E33" i="13"/>
  <c r="D35" i="13" s="1"/>
  <c r="C115" i="2"/>
  <c r="C145" i="2" s="1"/>
  <c r="C28" i="10"/>
  <c r="D19" i="10" s="1"/>
  <c r="F672" i="1"/>
  <c r="C4" i="10" s="1"/>
  <c r="F667" i="1"/>
  <c r="I660" i="1"/>
  <c r="I664" i="1" s="1"/>
  <c r="I672" i="1" s="1"/>
  <c r="C7" i="10" s="1"/>
  <c r="C104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13" i="10"/>
  <c r="D11" i="10"/>
  <c r="D21" i="10"/>
  <c r="D27" i="10"/>
  <c r="D12" i="10"/>
  <c r="D18" i="10"/>
  <c r="D22" i="10"/>
  <c r="D20" i="10"/>
  <c r="D17" i="10"/>
  <c r="D24" i="10"/>
  <c r="D10" i="10"/>
  <c r="D26" i="10"/>
  <c r="C30" i="10"/>
  <c r="D16" i="10"/>
  <c r="D23" i="10"/>
  <c r="D15" i="10"/>
  <c r="D25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<sst xmlns="http://schemas.openxmlformats.org/spreadsheetml/2006/main" count="3955" uniqueCount="913">
  <si>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</si>
  <si>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</si>
  <si>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</si>
  <si>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</si>
  <si>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</si>
  <si>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</si>
  <si>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</si>
  <si>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</si>
  <si>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</si>
  <si>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</si>
  <si>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</si>
  <si>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</si>
  <si>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</si>
  <si>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</si>
  <si>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</si>
  <si>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</si>
  <si>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</si>
  <si>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</si>
  <si>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</si>
  <si>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</si>
  <si>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</si>
  <si>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</si>
  <si>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</si>
  <si>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</si>
  <si>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</si>
  <si>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</si>
  <si>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</si>
  <si>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</si>
  <si>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</si>
  <si>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</si>
  <si>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</si>
  <si>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</si>
  <si>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</si>
  <si>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</si>
  <si>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</si>
  <si>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</si>
  <si>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</si>
  <si>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</si>
  <si>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</si>
  <si>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</si>
  <si>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</si>
  <si>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</si>
  <si>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</si>
  <si>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</si>
  <si>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</si>
  <si>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</si>
  <si>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</si>
  <si>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</si>
  <si>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</si>
  <si>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</si>
  <si>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</si>
  <si>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</si>
  <si>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</si>
  <si>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</si>
  <si>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</si>
  <si>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</si>
  <si>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</si>
  <si>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</si>
  <si>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</si>
  <si>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</si>
  <si>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</si>
  <si>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</si>
  <si>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</si>
  <si>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</si>
  <si>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</si>
  <si>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</si>
  <si>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</si>
  <si>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</si>
  <si>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</si>
  <si>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</si>
  <si>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</si>
  <si>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</si>
  <si>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</si>
  <si>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</si>
  <si>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</si>
  <si>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</si>
  <si>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</si>
  <si>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</si>
  <si>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</si>
  <si>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</si>
  <si>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</si>
  <si>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</si>
  <si>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</si>
  <si>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</si>
  <si>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</si>
  <si>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</si>
  <si>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</si>
  <si>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</si>
  <si>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</si>
  <si>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</si>
  <si>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</si>
  <si>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</si>
  <si>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</si>
  <si>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</si>
  <si>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</si>
  <si>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</si>
  <si>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</si>
  <si>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</si>
  <si>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</si>
  <si>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</si>
  <si>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</si>
  <si>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</si>
  <si>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</si>
  <si>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</si>
  <si>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</si>
  <si>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</si>
  <si>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</si>
  <si>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</si>
  <si>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</si>
  <si>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</si>
  <si>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</si>
  <si>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</si>
  <si>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</si>
  <si>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</si>
  <si>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</si>
  <si>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</si>
  <si>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</si>
  <si>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</si>
  <si>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</si>
  <si>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</si>
  <si>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</si>
  <si>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</si>
  <si>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</si>
  <si>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</si>
  <si>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</si>
  <si>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</si>
  <si>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</si>
  <si>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</si>
  <si>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</si>
  <si>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</si>
  <si>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</si>
  <si>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</si>
  <si>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</si>
  <si>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</si>
  <si>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</si>
  <si>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</si>
  <si>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</si>
  <si>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</si>
  <si>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</si>
  <si>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</si>
  <si>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</si>
  <si>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</si>
  <si>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</si>
  <si>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</si>
  <si>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</si>
  <si>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</si>
  <si>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</si>
  <si>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</si>
  <si>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</si>
  <si>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</si>
  <si>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</si>
  <si>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</si>
  <si>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</si>
  <si>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</si>
  <si>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</si>
  <si>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</si>
  <si>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</si>
  <si>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</si>
  <si>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</si>
  <si>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</si>
  <si>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</si>
  <si>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</si>
  <si>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</si>
  <si>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</si>
  <si>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</si>
  <si>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</si>
  <si>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</si>
  <si>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</si>
  <si>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</si>
  <si>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</si>
  <si>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</si>
  <si>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</si>
  <si>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</si>
  <si>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</si>
  <si>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</si>
  <si>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</si>
  <si>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</si>
  <si>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</si>
  <si>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</si>
  <si>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</si>
  <si>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</si>
  <si>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</si>
  <si>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</si>
  <si>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</si>
  <si>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</si>
  <si>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</si>
  <si>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</si>
  <si>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</si>
  <si>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</si>
  <si>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</si>
  <si>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</si>
  <si>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</si>
  <si>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</si>
  <si>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</si>
  <si>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</si>
  <si>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</si>
  <si>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</si>
  <si>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</si>
  <si>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</si>
  <si>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</si>
  <si>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</si>
  <si>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</si>
  <si>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</si>
  <si>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</si>
  <si>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</si>
  <si>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</si>
  <si>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</si>
  <si>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</si>
  <si>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</si>
  <si>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</si>
  <si>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</si>
  <si>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</si>
  <si>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</si>
  <si>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</si>
  <si>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</si>
  <si>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</si>
  <si>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</si>
  <si>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</si>
  <si>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</si>
  <si>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</si>
  <si>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</si>
  <si>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</si>
  <si>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</si>
  <si>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</si>
  <si>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</si>
  <si>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</si>
  <si>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</si>
  <si>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</si>
  <si>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</si>
  <si>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</si>
  <si>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</si>
  <si>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</si>
  <si>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</si>
  <si>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</si>
  <si>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</si>
  <si>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</si>
  <si>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</si>
  <si>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</si>
  <si>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</si>
  <si>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</si>
  <si>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</si>
  <si>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</si>
  <si>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</si>
  <si>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</si>
  <si>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</si>
  <si>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</si>
  <si>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</si>
  <si>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</si>
  <si>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</si>
  <si>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</si>
  <si>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</si>
  <si>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</si>
  <si>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</si>
  <si>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</si>
  <si>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</si>
  <si>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</si>
  <si>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</si>
  <si>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</si>
  <si>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</si>
  <si>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</si>
  <si>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</si>
  <si>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</si>
  <si>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</si>
  <si>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</si>
  <si>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</si>
  <si>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</si>
  <si>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</si>
  <si>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</si>
  <si>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</si>
  <si>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</si>
  <si>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</si>
  <si>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</si>
  <si>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</si>
  <si>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</si>
  <si>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</si>
  <si>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</si>
  <si>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</si>
  <si>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</si>
  <si>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</si>
  <si>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</si>
  <si>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</si>
  <si>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</si>
  <si>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</si>
  <si>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</si>
  <si>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</si>
  <si>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</si>
  <si>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</si>
  <si>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</si>
  <si>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</si>
  <si>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</si>
  <si>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</si>
  <si>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</si>
  <si>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</si>
  <si>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</si>
  <si>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</si>
  <si>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</si>
  <si>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</si>
  <si>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</si>
  <si>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</si>
  <si>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</si>
  <si>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</si>
  <si>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</si>
  <si>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</si>
  <si>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</si>
  <si>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</si>
  <si>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</si>
  <si>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</si>
  <si>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</si>
  <si>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</si>
  <si>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</si>
  <si>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</si>
  <si>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</si>
  <si>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</si>
  <si>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</si>
  <si>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</si>
  <si>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</si>
  <si>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</si>
  <si>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</si>
  <si>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</si>
  <si>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</si>
  <si>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</si>
  <si>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</si>
  <si>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</si>
  <si>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</si>
  <si>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</si>
  <si>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</si>
  <si>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</si>
  <si>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</si>
  <si>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</si>
  <si>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</si>
  <si>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</si>
  <si>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</si>
  <si>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</si>
  <si>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</si>
  <si>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</si>
  <si>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</si>
  <si>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</si>
  <si>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</si>
  <si>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</si>
  <si>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</si>
  <si>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</si>
  <si>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</si>
  <si>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</si>
  <si>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</si>
  <si>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</si>
  <si>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</si>
  <si>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</si>
  <si>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</si>
  <si>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</si>
  <si>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</si>
  <si>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</si>
  <si>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</si>
  <si>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</si>
  <si>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</si>
  <si>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</si>
  <si>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</si>
  <si>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</si>
  <si>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</si>
  <si>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</si>
  <si>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</si>
  <si>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</si>
  <si>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</si>
  <si>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</si>
  <si>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</si>
  <si>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</si>
  <si>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</si>
  <si>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</si>
  <si>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</si>
  <si>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</si>
  <si>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</si>
  <si>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</si>
  <si>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</si>
  <si>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</si>
  <si>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</si>
  <si>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</si>
  <si>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</si>
  <si>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</si>
  <si>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</si>
  <si>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</si>
  <si>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</si>
  <si>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</si>
  <si>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</si>
  <si>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</si>
  <si>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</si>
  <si>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</si>
  <si>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</si>
  <si>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</si>
  <si>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</si>
  <si>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</si>
  <si>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</si>
  <si>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</si>
  <si>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</si>
  <si>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</si>
  <si>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</si>
  <si>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</si>
  <si>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</si>
  <si>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</si>
  <si>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</si>
  <si>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</si>
  <si>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</si>
  <si>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</si>
  <si>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</si>
  <si>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</si>
  <si>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</si>
  <si>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</si>
  <si>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</si>
  <si>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</si>
  <si>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</si>
  <si>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</si>
  <si>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</si>
  <si>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</si>
  <si>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</si>
  <si>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</si>
  <si>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</si>
  <si>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</si>
  <si>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</si>
  <si>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</si>
  <si>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</si>
  <si>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</si>
  <si>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</si>
  <si>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</si>
  <si>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</si>
  <si>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</si>
  <si>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</si>
  <si>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</si>
  <si>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</si>
  <si>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</si>
  <si>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</si>
  <si>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</si>
  <si>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</si>
  <si>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</si>
  <si>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</si>
  <si>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</si>
  <si>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</si>
  <si>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</si>
  <si>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</si>
  <si>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</si>
  <si>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</si>
  <si>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</si>
  <si>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</si>
  <si>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</si>
  <si>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</si>
  <si>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</si>
  <si>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</si>
  <si>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</si>
  <si>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</si>
  <si>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</si>
  <si>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</si>
  <si>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</si>
  <si>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</si>
  <si>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</si>
  <si>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</si>
  <si>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</si>
  <si>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</si>
  <si>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</si>
  <si>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</si>
  <si>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</si>
  <si>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</si>
  <si>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</si>
  <si>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</si>
  <si>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</si>
  <si>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</si>
  <si>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</si>
  <si>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</si>
  <si>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</si>
  <si>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</si>
  <si>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</si>
  <si>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</si>
  <si>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</si>
  <si>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</si>
  <si>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</si>
  <si>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</si>
  <si>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</si>
  <si>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</si>
  <si>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</si>
  <si>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</si>
  <si>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</si>
  <si>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</si>
  <si>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</si>
  <si>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</si>
  <si>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</si>
  <si>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</si>
  <si>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</si>
  <si>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</si>
  <si>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</si>
  <si>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</si>
  <si>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</si>
  <si>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</si>
  <si>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</si>
  <si>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</si>
  <si>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</si>
  <si>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</si>
  <si>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</si>
  <si>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</si>
  <si>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</si>
  <si>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</si>
  <si>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</si>
  <si>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</si>
  <si>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</si>
  <si>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</si>
  <si>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</si>
  <si>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</si>
  <si>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</si>
  <si>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</si>
  <si>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</si>
  <si>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</si>
  <si>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</si>
  <si>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</si>
  <si>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</si>
  <si>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</si>
  <si>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</si>
  <si>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</si>
  <si>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</si>
  <si>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</si>
  <si>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</si>
  <si>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</si>
  <si>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</si>
  <si>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</si>
  <si>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</si>
  <si>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</si>
  <si>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</si>
  <si>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</si>
  <si>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</si>
  <si>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</si>
  <si>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</si>
  <si>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</si>
  <si>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</si>
  <si>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</si>
  <si>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</si>
  <si>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</si>
  <si>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</si>
  <si>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</si>
  <si>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</si>
  <si>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</si>
  <si>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</si>
  <si>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</si>
  <si>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</si>
  <si>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</si>
  <si>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</si>
  <si>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</si>
  <si>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</si>
  <si>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</si>
  <si>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</si>
  <si>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</si>
  <si>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</si>
  <si>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</si>
  <si>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</si>
  <si>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</si>
  <si>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</si>
  <si>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</si>
  <si>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</si>
  <si>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</si>
  <si>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</si>
  <si>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</si>
  <si>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</si>
  <si>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</si>
  <si>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</si>
  <si>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</si>
  <si>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</si>
  <si>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</si>
  <si>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</si>
  <si>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</si>
  <si>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</si>
  <si>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</si>
  <si>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</si>
  <si>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</si>
  <si>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</si>
  <si>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</si>
  <si>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</si>
  <si>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</si>
  <si>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</si>
  <si>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</si>
  <si>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</si>
  <si>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</si>
  <si>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</si>
  <si>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</si>
  <si>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</si>
  <si>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</si>
  <si>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</si>
  <si>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</si>
  <si>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</si>
  <si>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</si>
  <si>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</si>
  <si>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</si>
  <si>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</si>
  <si>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</si>
  <si>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</si>
  <si>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</si>
  <si>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</si>
  <si>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</si>
  <si>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</si>
  <si>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</si>
  <si>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</si>
  <si>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</si>
  <si>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</si>
  <si>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</si>
  <si>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</si>
  <si>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</si>
  <si>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</si>
  <si>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</si>
  <si>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</si>
  <si>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</si>
  <si>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</si>
  <si>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</si>
  <si>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</si>
  <si>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</si>
  <si>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</si>
  <si>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</si>
  <si>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</si>
  <si>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</si>
  <si>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</si>
  <si>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</si>
  <si>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</si>
  <si>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</si>
  <si>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</si>
  <si>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</si>
  <si>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</si>
  <si>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</si>
  <si>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</si>
  <si>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</si>
  <si>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</si>
  <si>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</si>
  <si>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</si>
  <si>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</si>
  <si>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</si>
  <si>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</si>
  <si>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</si>
  <si>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</si>
  <si>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</si>
  <si>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</si>
  <si>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</si>
  <si>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</si>
  <si>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</si>
  <si>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</si>
  <si>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</si>
  <si>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</si>
  <si>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</si>
  <si>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</si>
  <si>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</si>
  <si>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</si>
  <si>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</si>
  <si>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</si>
  <si>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</si>
  <si>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</si>
  <si>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</si>
  <si>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</si>
  <si>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</si>
  <si>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</si>
  <si>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</si>
  <si>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</si>
  <si>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</si>
  <si>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</si>
  <si>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</si>
  <si>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</si>
  <si>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</si>
  <si>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</si>
  <si>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</si>
  <si>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</si>
  <si>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</si>
  <si>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</si>
  <si>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</si>
  <si>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</si>
  <si>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</si>
  <si>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</si>
  <si>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</si>
  <si>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</si>
  <si>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</si>
  <si>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</si>
  <si>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</si>
  <si>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</si>
  <si>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</si>
  <si>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</si>
  <si>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</si>
  <si>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</si>
  <si>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</si>
  <si>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</si>
  <si>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</si>
  <si>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</si>
  <si>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</si>
  <si>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</si>
  <si>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</si>
  <si>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</si>
  <si>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</si>
  <si>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</si>
  <si>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</si>
  <si>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</si>
  <si>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</si>
  <si>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</si>
  <si>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</si>
  <si>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</si>
  <si>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</si>
  <si>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</si>
  <si>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</si>
  <si>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</si>
  <si>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</si>
  <si>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</si>
  <si>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</si>
  <si>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</si>
  <si>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</si>
  <si>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</si>
  <si>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</si>
  <si>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</si>
  <si>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</si>
  <si>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</si>
  <si>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</si>
  <si>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</si>
  <si>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</si>
  <si>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</si>
  <si>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</si>
  <si>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</si>
  <si>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</si>
  <si>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</si>
  <si>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</si>
  <si>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</si>
  <si>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</si>
  <si>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</si>
  <si>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</si>
  <si>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</si>
  <si>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</si>
  <si>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</si>
  <si>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</si>
  <si>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</si>
  <si>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</si>
  <si>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</si>
  <si>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</si>
  <si>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</si>
  <si>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</si>
  <si>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</si>
  <si>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</si>
  <si>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</si>
  <si>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</si>
  <si>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</si>
  <si>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</si>
  <si>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</si>
  <si>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</si>
  <si>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</si>
  <si>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</si>
  <si>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</si>
  <si>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</si>
  <si>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</si>
  <si>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</si>
  <si>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</si>
  <si>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</si>
  <si>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</si>
  <si>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</si>
  <si>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</si>
  <si>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</si>
  <si>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</si>
  <si>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</si>
  <si>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</si>
  <si>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</si>
  <si>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</si>
  <si>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</si>
  <si>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</si>
  <si>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</si>
  <si>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</si>
  <si>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</si>
  <si>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</si>
  <si>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</si>
  <si>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</si>
  <si>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</si>
  <si>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</si>
  <si>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</si>
  <si>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</si>
  <si>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</si>
  <si>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</si>
  <si>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</si>
  <si>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</si>
  <si>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</si>
  <si>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</si>
  <si>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</si>
  <si>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</si>
  <si>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</si>
  <si>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</si>
  <si>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</si>
  <si>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</si>
  <si>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</si>
  <si>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</si>
  <si>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</si>
  <si>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</si>
  <si>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</si>
  <si>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</si>
  <si>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</si>
  <si>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</si>
  <si>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</si>
  <si>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</si>
  <si>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</si>
  <si>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</si>
  <si>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</si>
  <si>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</si>
  <si>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</si>
  <si>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</si>
  <si>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</si>
  <si>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</si>
  <si>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</si>
  <si>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</si>
  <si>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</si>
  <si>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</si>
  <si>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</si>
  <si>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</si>
  <si>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</si>
  <si>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</si>
  <si>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</si>
  <si>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</si>
  <si>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</si>
  <si>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</si>
  <si>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</si>
  <si>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</si>
  <si>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</si>
  <si>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</si>
  <si>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</si>
  <si>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</si>
  <si>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</si>
  <si>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</si>
  <si>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</si>
  <si>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</si>
  <si>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</si>
  <si>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</si>
  <si>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</si>
  <si>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</si>
  <si>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</si>
  <si>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</si>
  <si>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</si>
  <si>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</si>
  <si>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</si>
  <si>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</si>
  <si>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</si>
  <si>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</si>
  <si>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</si>
  <si>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</si>
  <si>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</si>
  <si>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</si>
  <si>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</si>
  <si>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</si>
  <si>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</si>
  <si>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</si>
  <si>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</si>
  <si>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</si>
  <si>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</si>
  <si>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</si>
  <si>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</si>
  <si>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</si>
  <si>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</si>
  <si>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</si>
  <si>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</si>
  <si>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</si>
  <si>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</si>
  <si>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</si>
  <si>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</si>
  <si>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</si>
  <si>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</si>
  <si>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</si>
  <si>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</si>
  <si>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</si>
  <si>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</si>
  <si>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</si>
  <si>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</si>
  <si>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</si>
  <si>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</si>
  <si>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</si>
  <si>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</si>
  <si>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</si>
  <si>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</si>
  <si>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</si>
  <si>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</si>
  <si>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</si>
  <si>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</si>
  <si>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</si>
  <si>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</si>
  <si>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</si>
  <si>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</si>
  <si>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</si>
  <si>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</si>
  <si>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</si>
  <si>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</si>
  <si>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</si>
  <si>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</si>
  <si>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</si>
  <si>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</si>
  <si>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</si>
  <si>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</si>
  <si>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</si>
  <si>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</si>
  <si>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</si>
  <si>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</si>
  <si>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</si>
  <si>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</si>
  <si>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</si>
  <si>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</si>
  <si>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</si>
  <si>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</si>
  <si>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</si>
  <si>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</si>
  <si>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</si>
  <si>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</si>
  <si>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</si>
  <si>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</si>
  <si>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</si>
  <si>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</si>
  <si>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</si>
  <si>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</si>
  <si>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</si>
  <si>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</si>
  <si>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</si>
  <si>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</si>
  <si>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</si>
  <si>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</si>
  <si>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</si>
  <si>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</si>
  <si>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</si>
  <si>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</si>
  <si>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</si>
  <si>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STRATFORD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</si>
</sst>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90" zoomScaleNormal="9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509</v>
      </c>
      <c r="C2" s="21">
        <v>509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45221.78+100021.37</f>
        <v>145243.15</v>
      </c>
      <c r="G9" s="18"/>
      <c r="H9" s="18"/>
      <c r="I9" s="18"/>
      <c r="J9" s="67">
        <f>SUM(I439)</f>
        <v>365711.28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f>2370.88+15369.83</f>
        <v>17740.71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>
        <v>2370.88</v>
      </c>
      <c r="H14" s="18">
        <v>15369.83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162983.85999999999</v>
      </c>
      <c r="G19" s="41">
        <f>SUM(G9:G18)</f>
        <v>2370.88</v>
      </c>
      <c r="H19" s="41">
        <f>SUM(H9:H18)</f>
        <v>15369.83</v>
      </c>
      <c r="I19" s="41">
        <f>SUM(I9:I18)</f>
        <v>0</v>
      </c>
      <c r="J19" s="41">
        <f>SUM(J9:J18)</f>
        <v>365711.28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2370.88</v>
      </c>
      <c r="H22" s="18">
        <v>15369.83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4394.46</v>
      </c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4394.46</v>
      </c>
      <c r="G32" s="41">
        <f>SUM(G22:G31)</f>
        <v>2370.88</v>
      </c>
      <c r="H32" s="41">
        <f>SUM(H22:H31)</f>
        <v>15369.83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365711.28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22870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135719.4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158589.4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365711.28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162983.85999999999</v>
      </c>
      <c r="G52" s="41">
        <f>G51+G32</f>
        <v>2370.88</v>
      </c>
      <c r="H52" s="41">
        <f>H51+H32</f>
        <v>15369.83</v>
      </c>
      <c r="I52" s="41">
        <f>I51+I32</f>
        <v>0</v>
      </c>
      <c r="J52" s="41">
        <f>J51+J32</f>
        <v>365711.28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809939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809939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>
        <v>45243</v>
      </c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45243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759.53</v>
      </c>
      <c r="G96" s="18"/>
      <c r="H96" s="18"/>
      <c r="I96" s="18"/>
      <c r="J96" s="18">
        <v>2471.58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2791.01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25240.5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26000.03</v>
      </c>
      <c r="G111" s="41">
        <f>SUM(G96:G110)</f>
        <v>2791.01</v>
      </c>
      <c r="H111" s="41">
        <f>SUM(H96:H110)</f>
        <v>0</v>
      </c>
      <c r="I111" s="41">
        <f>SUM(I96:I110)</f>
        <v>0</v>
      </c>
      <c r="J111" s="41">
        <f>SUM(J96:J110)</f>
        <v>2471.58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881182.03</v>
      </c>
      <c r="G112" s="41">
        <f>G60+G111</f>
        <v>2791.01</v>
      </c>
      <c r="H112" s="41">
        <f>H60+H79+H94+H111</f>
        <v>0</v>
      </c>
      <c r="I112" s="41">
        <f>I60+I111</f>
        <v>0</v>
      </c>
      <c r="J112" s="41">
        <f>J60+J111</f>
        <v>2471.58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778490.25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104843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1532.69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884865.94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499.81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499.81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884865.94</v>
      </c>
      <c r="G140" s="41">
        <f>G121+SUM(G136:G137)</f>
        <v>499.81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57061.599999999999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23639.83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34237.56+3197.91</f>
        <v>37435.47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30120.94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1391.43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1391.43</v>
      </c>
      <c r="G162" s="41">
        <f>SUM(G150:G161)</f>
        <v>37435.47</v>
      </c>
      <c r="H162" s="41">
        <f>SUM(H150:H161)</f>
        <v>110822.37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0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1391.43</v>
      </c>
      <c r="G169" s="41">
        <f>G147+G162+SUM(G163:G168)</f>
        <v>37435.47</v>
      </c>
      <c r="H169" s="41">
        <f>H147+H162+SUM(H163:H168)</f>
        <v>110822.37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11312.77</v>
      </c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11312.77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11312.77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1767439.4</v>
      </c>
      <c r="G193" s="47">
        <f>G112+G140+G169+G192</f>
        <v>52039.06</v>
      </c>
      <c r="H193" s="47">
        <f>H112+H140+H169+H192</f>
        <v>110822.37</v>
      </c>
      <c r="I193" s="47">
        <f>I112+I140+I169+I192</f>
        <v>0</v>
      </c>
      <c r="J193" s="47">
        <f>J112+J140+J192</f>
        <v>2471.58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337624.88+15469.23+5218.02+500</f>
        <v>358812.13</v>
      </c>
      <c r="G197" s="18">
        <f>92208.9+2454.88+4607.8+27251.14+49064.78+1518+4372.32+38.25+78.35</f>
        <v>181594.42</v>
      </c>
      <c r="H197" s="18">
        <f>14214.54+864+2989.43+406.62</f>
        <v>18474.59</v>
      </c>
      <c r="I197" s="18">
        <f>7057.72+250+2120.95+858.58+60.28+736.32+172.77+300.43+323.03+147.02+235.39+246.38+257.86+972.67+95.58+752.7+303.03+51.99+292.95+614.11+61+41.98</f>
        <v>15952.740000000003</v>
      </c>
      <c r="J197" s="18">
        <f>76.69+5350+10206.05</f>
        <v>15632.739999999998</v>
      </c>
      <c r="K197" s="18">
        <f>434+39</f>
        <v>473</v>
      </c>
      <c r="L197" s="19">
        <f>SUM(F197:K197)</f>
        <v>590939.62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40750+31950.94</f>
        <v>72700.94</v>
      </c>
      <c r="G198" s="18">
        <f>14097.49+339.72+268.63+5561.59+6385.59+907.56</f>
        <v>27560.58</v>
      </c>
      <c r="H198" s="18">
        <f>13126.45+17710.56+4390.61</f>
        <v>35227.620000000003</v>
      </c>
      <c r="I198" s="18"/>
      <c r="J198" s="18"/>
      <c r="K198" s="18"/>
      <c r="L198" s="19">
        <f>SUM(F198:K198)</f>
        <v>135489.14000000001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2215</f>
        <v>2215</v>
      </c>
      <c r="G200" s="18">
        <f>169.45+78.2+166.09+121.2</f>
        <v>534.94000000000005</v>
      </c>
      <c r="H200" s="18"/>
      <c r="I200" s="18">
        <f>602.5</f>
        <v>602.5</v>
      </c>
      <c r="J200" s="18"/>
      <c r="K200" s="18">
        <f>152</f>
        <v>152</v>
      </c>
      <c r="L200" s="19">
        <f>SUM(F200:K200)</f>
        <v>3504.44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26280+44492.58</f>
        <v>70772.58</v>
      </c>
      <c r="G202" s="18">
        <f>1991.84+272.27+2837.88</f>
        <v>5101.99</v>
      </c>
      <c r="H202" s="18">
        <f>135+41.5+13426.5</f>
        <v>13603</v>
      </c>
      <c r="I202" s="18">
        <f>299.77+129.45</f>
        <v>429.21999999999997</v>
      </c>
      <c r="J202" s="18"/>
      <c r="K202" s="18">
        <v>139</v>
      </c>
      <c r="L202" s="19">
        <f t="shared" ref="L202:L208" si="0">SUM(F202:K202)</f>
        <v>90045.790000000008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18325</f>
        <v>18325</v>
      </c>
      <c r="G203" s="18">
        <f>9524.34+171.24+125.58+1363.66+2871.45+226.89</f>
        <v>14283.16</v>
      </c>
      <c r="H203" s="18">
        <f>595+298.08+6416.11+625.02</f>
        <v>7934.2099999999991</v>
      </c>
      <c r="I203" s="18">
        <f>88+344.04+2589.55</f>
        <v>3021.59</v>
      </c>
      <c r="J203" s="18"/>
      <c r="K203" s="18">
        <v>198.5</v>
      </c>
      <c r="L203" s="19">
        <f t="shared" si="0"/>
        <v>43762.459999999992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2023</v>
      </c>
      <c r="G204" s="18">
        <v>154.01</v>
      </c>
      <c r="H204" s="18">
        <v>93619.95</v>
      </c>
      <c r="I204" s="18">
        <v>842</v>
      </c>
      <c r="J204" s="18"/>
      <c r="K204" s="18">
        <v>2006.26</v>
      </c>
      <c r="L204" s="19">
        <f t="shared" si="0"/>
        <v>98645.219999999987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72447.7+29424.85+58</f>
        <v>101930.54999999999</v>
      </c>
      <c r="G205" s="18">
        <f>14083.83+347.2+475.32+7797.73+3309.05+11352.64+917.28</f>
        <v>38283.050000000003</v>
      </c>
      <c r="H205" s="18">
        <f>250+55+104.92+27585.27+575.89</f>
        <v>28571.079999999998</v>
      </c>
      <c r="I205" s="18">
        <f>219.1+8787.61+38.85</f>
        <v>9045.5600000000013</v>
      </c>
      <c r="J205" s="18"/>
      <c r="K205" s="18">
        <f>1760.92+1022.96</f>
        <v>2783.88</v>
      </c>
      <c r="L205" s="19">
        <f t="shared" si="0"/>
        <v>180614.11999999997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49288+4732.04</f>
        <v>54020.04</v>
      </c>
      <c r="G207" s="18">
        <f>19048.9+4116.36+3645.83+1121.48</f>
        <v>27932.570000000003</v>
      </c>
      <c r="H207" s="18">
        <f>17004.55+3905+6300+27169.48+5483+1785.89</f>
        <v>61647.92</v>
      </c>
      <c r="I207" s="18">
        <f>7645.11+13790.04+409.62+23466.36</f>
        <v>45311.130000000005</v>
      </c>
      <c r="J207" s="18">
        <f>636.51+8490.9</f>
        <v>9127.41</v>
      </c>
      <c r="K207" s="18"/>
      <c r="L207" s="19">
        <f t="shared" si="0"/>
        <v>198039.07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49438.79+3160.68+230+8033.33</f>
        <v>60862.8</v>
      </c>
      <c r="I208" s="18"/>
      <c r="J208" s="18"/>
      <c r="K208" s="18"/>
      <c r="L208" s="19">
        <f t="shared" si="0"/>
        <v>60862.8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680799.24</v>
      </c>
      <c r="G211" s="41">
        <f t="shared" si="1"/>
        <v>295444.72000000003</v>
      </c>
      <c r="H211" s="41">
        <f t="shared" si="1"/>
        <v>319941.17</v>
      </c>
      <c r="I211" s="41">
        <f t="shared" si="1"/>
        <v>75204.74000000002</v>
      </c>
      <c r="J211" s="41">
        <f t="shared" si="1"/>
        <v>24760.149999999998</v>
      </c>
      <c r="K211" s="41">
        <f t="shared" si="1"/>
        <v>5752.64</v>
      </c>
      <c r="L211" s="41">
        <f t="shared" si="1"/>
        <v>1401902.66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f>293253.09+11918</f>
        <v>305171.09000000003</v>
      </c>
      <c r="I233" s="18"/>
      <c r="J233" s="18"/>
      <c r="K233" s="18"/>
      <c r="L233" s="19">
        <f>SUM(F233:K233)</f>
        <v>305171.09000000003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f>754.5+9257.61+15813</f>
        <v>25825.11</v>
      </c>
      <c r="I234" s="18"/>
      <c r="J234" s="18"/>
      <c r="K234" s="18"/>
      <c r="L234" s="19">
        <f>SUM(F234:K234)</f>
        <v>25825.11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787</v>
      </c>
      <c r="G240" s="18">
        <v>61</v>
      </c>
      <c r="H240" s="18">
        <v>36407</v>
      </c>
      <c r="I240" s="18">
        <v>328</v>
      </c>
      <c r="J240" s="18"/>
      <c r="K240" s="18">
        <v>781</v>
      </c>
      <c r="L240" s="19">
        <f t="shared" si="4"/>
        <v>38364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f>49438.78+3795</f>
        <v>53233.78</v>
      </c>
      <c r="I244" s="18"/>
      <c r="J244" s="18"/>
      <c r="K244" s="18"/>
      <c r="L244" s="19">
        <f t="shared" si="4"/>
        <v>53233.78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787</v>
      </c>
      <c r="G247" s="41">
        <f t="shared" si="5"/>
        <v>61</v>
      </c>
      <c r="H247" s="41">
        <f t="shared" si="5"/>
        <v>420636.98</v>
      </c>
      <c r="I247" s="41">
        <f t="shared" si="5"/>
        <v>328</v>
      </c>
      <c r="J247" s="41">
        <f t="shared" si="5"/>
        <v>0</v>
      </c>
      <c r="K247" s="41">
        <f t="shared" si="5"/>
        <v>781</v>
      </c>
      <c r="L247" s="41">
        <f t="shared" si="5"/>
        <v>422593.98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15611.85</v>
      </c>
      <c r="I255" s="18"/>
      <c r="J255" s="18"/>
      <c r="K255" s="18"/>
      <c r="L255" s="19">
        <f t="shared" si="6"/>
        <v>15611.85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15611.85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15611.85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681586.24</v>
      </c>
      <c r="G257" s="41">
        <f t="shared" si="8"/>
        <v>295505.72000000003</v>
      </c>
      <c r="H257" s="41">
        <f t="shared" si="8"/>
        <v>756189.99999999988</v>
      </c>
      <c r="I257" s="41">
        <f t="shared" si="8"/>
        <v>75532.74000000002</v>
      </c>
      <c r="J257" s="41">
        <f t="shared" si="8"/>
        <v>24760.149999999998</v>
      </c>
      <c r="K257" s="41">
        <f t="shared" si="8"/>
        <v>6533.64</v>
      </c>
      <c r="L257" s="41">
        <f t="shared" si="8"/>
        <v>1840108.49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11312.77</v>
      </c>
      <c r="L263" s="19">
        <f>SUM(F263:K263)</f>
        <v>11312.77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11312.77</v>
      </c>
      <c r="L270" s="41">
        <f t="shared" si="9"/>
        <v>11312.77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681586.24</v>
      </c>
      <c r="G271" s="42">
        <f t="shared" si="11"/>
        <v>295505.72000000003</v>
      </c>
      <c r="H271" s="42">
        <f t="shared" si="11"/>
        <v>756189.99999999988</v>
      </c>
      <c r="I271" s="42">
        <f t="shared" si="11"/>
        <v>75532.74000000002</v>
      </c>
      <c r="J271" s="42">
        <f t="shared" si="11"/>
        <v>24760.149999999998</v>
      </c>
      <c r="K271" s="42">
        <f t="shared" si="11"/>
        <v>17846.41</v>
      </c>
      <c r="L271" s="42">
        <f t="shared" si="11"/>
        <v>1851421.26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52266.01</v>
      </c>
      <c r="G276" s="18">
        <f>3997.21+1185.33</f>
        <v>5182.54</v>
      </c>
      <c r="H276" s="18">
        <f>7244+2622.69</f>
        <v>9866.69</v>
      </c>
      <c r="I276" s="18">
        <f>3075.68+304</f>
        <v>3379.68</v>
      </c>
      <c r="J276" s="18">
        <f>3964+1512</f>
        <v>5476</v>
      </c>
      <c r="K276" s="18">
        <f>150</f>
        <v>150</v>
      </c>
      <c r="L276" s="19">
        <f>SUM(F276:K276)</f>
        <v>76320.92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>
        <f>376.25+41.8+19369.39</f>
        <v>19787.439999999999</v>
      </c>
      <c r="I277" s="18"/>
      <c r="J277" s="18"/>
      <c r="K277" s="18"/>
      <c r="L277" s="19">
        <f>SUM(F277:K277)</f>
        <v>19787.439999999999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f>10333.5</f>
        <v>10333.5</v>
      </c>
      <c r="I281" s="18"/>
      <c r="J281" s="18"/>
      <c r="K281" s="18"/>
      <c r="L281" s="19">
        <f t="shared" ref="L281:L287" si="12">SUM(F281:K281)</f>
        <v>10333.5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>
        <v>1500</v>
      </c>
      <c r="H284" s="18"/>
      <c r="I284" s="18"/>
      <c r="J284" s="18"/>
      <c r="K284" s="18"/>
      <c r="L284" s="19">
        <f t="shared" si="12"/>
        <v>1500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2880.51</v>
      </c>
      <c r="I287" s="18"/>
      <c r="J287" s="18"/>
      <c r="K287" s="18"/>
      <c r="L287" s="19">
        <f t="shared" si="12"/>
        <v>2880.51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52266.01</v>
      </c>
      <c r="G290" s="42">
        <f t="shared" si="13"/>
        <v>6682.54</v>
      </c>
      <c r="H290" s="42">
        <f t="shared" si="13"/>
        <v>42868.14</v>
      </c>
      <c r="I290" s="42">
        <f t="shared" si="13"/>
        <v>3379.68</v>
      </c>
      <c r="J290" s="42">
        <f t="shared" si="13"/>
        <v>5476</v>
      </c>
      <c r="K290" s="42">
        <f t="shared" si="13"/>
        <v>150</v>
      </c>
      <c r="L290" s="41">
        <f t="shared" si="13"/>
        <v>110822.37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52266.01</v>
      </c>
      <c r="G338" s="41">
        <f t="shared" si="20"/>
        <v>6682.54</v>
      </c>
      <c r="H338" s="41">
        <f t="shared" si="20"/>
        <v>42868.14</v>
      </c>
      <c r="I338" s="41">
        <f t="shared" si="20"/>
        <v>3379.68</v>
      </c>
      <c r="J338" s="41">
        <f t="shared" si="20"/>
        <v>5476</v>
      </c>
      <c r="K338" s="41">
        <f t="shared" si="20"/>
        <v>150</v>
      </c>
      <c r="L338" s="41">
        <f t="shared" si="20"/>
        <v>110822.37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52266.01</v>
      </c>
      <c r="G352" s="41">
        <f>G338</f>
        <v>6682.54</v>
      </c>
      <c r="H352" s="41">
        <f>H338</f>
        <v>42868.14</v>
      </c>
      <c r="I352" s="41">
        <f>I338</f>
        <v>3379.68</v>
      </c>
      <c r="J352" s="41">
        <f>J338</f>
        <v>5476</v>
      </c>
      <c r="K352" s="47">
        <f>K338+K351</f>
        <v>150</v>
      </c>
      <c r="L352" s="41">
        <f>L338+L351</f>
        <v>110822.37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52039.06</v>
      </c>
      <c r="I358" s="18"/>
      <c r="J358" s="18"/>
      <c r="K358" s="18"/>
      <c r="L358" s="13">
        <f>SUM(F358:K358)</f>
        <v>52039.06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52039.06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52039.06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1201.8599999999999</v>
      </c>
      <c r="I396" s="18"/>
      <c r="J396" s="24" t="s">
        <v>288</v>
      </c>
      <c r="K396" s="24" t="s">
        <v>288</v>
      </c>
      <c r="L396" s="56">
        <f t="shared" si="26"/>
        <v>1201.8599999999999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928.31</v>
      </c>
      <c r="I397" s="18"/>
      <c r="J397" s="24" t="s">
        <v>288</v>
      </c>
      <c r="K397" s="24" t="s">
        <v>288</v>
      </c>
      <c r="L397" s="56">
        <f t="shared" si="26"/>
        <v>928.31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>
        <v>341.41</v>
      </c>
      <c r="I398" s="18"/>
      <c r="J398" s="24" t="s">
        <v>288</v>
      </c>
      <c r="K398" s="24" t="s">
        <v>288</v>
      </c>
      <c r="L398" s="56">
        <f t="shared" si="26"/>
        <v>341.41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2471.58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2471.58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2471.58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2471.58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v>365711.28</v>
      </c>
      <c r="H439" s="18"/>
      <c r="I439" s="56">
        <f t="shared" ref="I439:I445" si="33">SUM(F439:H439)</f>
        <v>365711.28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365711.28</v>
      </c>
      <c r="H446" s="13">
        <f>SUM(H439:H445)</f>
        <v>0</v>
      </c>
      <c r="I446" s="13">
        <f>SUM(I439:I445)</f>
        <v>365711.28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>
        <v>365711.28</v>
      </c>
      <c r="H456" s="18"/>
      <c r="I456" s="56">
        <f t="shared" si="34"/>
        <v>365711.28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365711.28</v>
      </c>
      <c r="H460" s="83">
        <f>SUM(H454:H459)</f>
        <v>0</v>
      </c>
      <c r="I460" s="83">
        <f>SUM(I454:I459)</f>
        <v>365711.28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365711.28</v>
      </c>
      <c r="H461" s="42">
        <f>H452+H460</f>
        <v>0</v>
      </c>
      <c r="I461" s="42">
        <f>I452+I460</f>
        <v>365711.28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242571.26</v>
      </c>
      <c r="G465" s="18"/>
      <c r="H465" s="18"/>
      <c r="I465" s="18"/>
      <c r="J465" s="18">
        <v>363239.7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1767439.4</v>
      </c>
      <c r="G468" s="18">
        <v>52039.06</v>
      </c>
      <c r="H468" s="18">
        <v>110822.37</v>
      </c>
      <c r="I468" s="18"/>
      <c r="J468" s="18">
        <v>2471.58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1767439.4</v>
      </c>
      <c r="G470" s="53">
        <f>SUM(G468:G469)</f>
        <v>52039.06</v>
      </c>
      <c r="H470" s="53">
        <f>SUM(H468:H469)</f>
        <v>110822.37</v>
      </c>
      <c r="I470" s="53">
        <f>SUM(I468:I469)</f>
        <v>0</v>
      </c>
      <c r="J470" s="53">
        <f>SUM(J468:J469)</f>
        <v>2471.58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1851421.26</v>
      </c>
      <c r="G472" s="18">
        <v>52039.06</v>
      </c>
      <c r="H472" s="18">
        <v>110822.37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1851421.26</v>
      </c>
      <c r="G474" s="53">
        <f>SUM(G472:G473)</f>
        <v>52039.06</v>
      </c>
      <c r="H474" s="53">
        <f>SUM(H472:H473)</f>
        <v>110822.37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158589.39999999991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365711.28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40750+31950.94</f>
        <v>72700.94</v>
      </c>
      <c r="G521" s="18">
        <f>14097.49+339.72+268.63+5561.59+6385.59+907.56</f>
        <v>27560.58</v>
      </c>
      <c r="H521" s="18">
        <f>17710.56</f>
        <v>17710.560000000001</v>
      </c>
      <c r="I521" s="18"/>
      <c r="J521" s="18"/>
      <c r="K521" s="18"/>
      <c r="L521" s="88">
        <f>SUM(F521:K521)</f>
        <v>117972.08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f>15813</f>
        <v>15813</v>
      </c>
      <c r="I523" s="18"/>
      <c r="J523" s="18"/>
      <c r="K523" s="18"/>
      <c r="L523" s="88">
        <f>SUM(F523:K523)</f>
        <v>15813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72700.94</v>
      </c>
      <c r="G524" s="108">
        <f t="shared" ref="G524:L524" si="36">SUM(G521:G523)</f>
        <v>27560.58</v>
      </c>
      <c r="H524" s="108">
        <f t="shared" si="36"/>
        <v>33523.56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133785.08000000002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f>13126.45+4390.61+13426.5+19369.39+376.25+41.8</f>
        <v>50731</v>
      </c>
      <c r="I526" s="18"/>
      <c r="J526" s="18"/>
      <c r="K526" s="18"/>
      <c r="L526" s="88">
        <f>SUM(F526:K526)</f>
        <v>50731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f>754.5+9257.61</f>
        <v>10012.11</v>
      </c>
      <c r="I528" s="18"/>
      <c r="J528" s="18"/>
      <c r="K528" s="18"/>
      <c r="L528" s="88">
        <f>SUM(F528:K528)</f>
        <v>10012.11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60743.11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60743.11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f>27585.27+575.89</f>
        <v>28161.16</v>
      </c>
      <c r="I531" s="18">
        <v>38.85</v>
      </c>
      <c r="J531" s="18"/>
      <c r="K531" s="18">
        <v>1022.96</v>
      </c>
      <c r="L531" s="88">
        <f>SUM(F531:K531)</f>
        <v>29222.969999999998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28161.16</v>
      </c>
      <c r="I534" s="89">
        <f t="shared" si="38"/>
        <v>38.85</v>
      </c>
      <c r="J534" s="89">
        <f t="shared" si="38"/>
        <v>0</v>
      </c>
      <c r="K534" s="89">
        <f t="shared" si="38"/>
        <v>1022.96</v>
      </c>
      <c r="L534" s="89">
        <f t="shared" si="38"/>
        <v>29222.969999999998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3160.68</v>
      </c>
      <c r="I541" s="18"/>
      <c r="J541" s="18"/>
      <c r="K541" s="18"/>
      <c r="L541" s="88">
        <f>SUM(F541:K541)</f>
        <v>3160.68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3795</v>
      </c>
      <c r="I543" s="18"/>
      <c r="J543" s="18"/>
      <c r="K543" s="18"/>
      <c r="L543" s="88">
        <f>SUM(F543:K543)</f>
        <v>3795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6955.68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6955.68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72700.94</v>
      </c>
      <c r="G545" s="89">
        <f t="shared" ref="G545:L545" si="41">G524+G529+G534+G539+G544</f>
        <v>27560.58</v>
      </c>
      <c r="H545" s="89">
        <f t="shared" si="41"/>
        <v>129383.51000000001</v>
      </c>
      <c r="I545" s="89">
        <f t="shared" si="41"/>
        <v>38.85</v>
      </c>
      <c r="J545" s="89">
        <f t="shared" si="41"/>
        <v>0</v>
      </c>
      <c r="K545" s="89">
        <f t="shared" si="41"/>
        <v>1022.96</v>
      </c>
      <c r="L545" s="89">
        <f t="shared" si="41"/>
        <v>230706.84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117972.08</v>
      </c>
      <c r="G549" s="87">
        <f>L526</f>
        <v>50731</v>
      </c>
      <c r="H549" s="87">
        <f>L531</f>
        <v>29222.969999999998</v>
      </c>
      <c r="I549" s="87">
        <f>L536</f>
        <v>0</v>
      </c>
      <c r="J549" s="87">
        <f>L541</f>
        <v>3160.68</v>
      </c>
      <c r="K549" s="87">
        <f>SUM(F549:J549)</f>
        <v>201086.73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15813</v>
      </c>
      <c r="G551" s="87">
        <f>L528</f>
        <v>10012.11</v>
      </c>
      <c r="H551" s="87">
        <f>L533</f>
        <v>0</v>
      </c>
      <c r="I551" s="87">
        <f>L538</f>
        <v>0</v>
      </c>
      <c r="J551" s="87">
        <f>L543</f>
        <v>3795</v>
      </c>
      <c r="K551" s="87">
        <f>SUM(F551:J551)</f>
        <v>29620.11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133785.08000000002</v>
      </c>
      <c r="G552" s="89">
        <f t="shared" si="42"/>
        <v>60743.11</v>
      </c>
      <c r="H552" s="89">
        <f t="shared" si="42"/>
        <v>29222.969999999998</v>
      </c>
      <c r="I552" s="89">
        <f t="shared" si="42"/>
        <v>0</v>
      </c>
      <c r="J552" s="89">
        <f t="shared" si="42"/>
        <v>6955.68</v>
      </c>
      <c r="K552" s="89">
        <f t="shared" si="42"/>
        <v>230706.84000000003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293253.09000000003</v>
      </c>
      <c r="I575" s="87">
        <f>SUM(F575:H575)</f>
        <v>293253.09000000003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17710.560000000001</v>
      </c>
      <c r="G582" s="18"/>
      <c r="H582" s="18">
        <v>15813</v>
      </c>
      <c r="I582" s="87">
        <f t="shared" si="47"/>
        <v>33523.56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49438.79</v>
      </c>
      <c r="I591" s="18"/>
      <c r="J591" s="18">
        <v>49438.78</v>
      </c>
      <c r="K591" s="104">
        <f t="shared" ref="K591:K597" si="48">SUM(H591:J591)</f>
        <v>98877.57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3160.68</v>
      </c>
      <c r="I592" s="18"/>
      <c r="J592" s="18">
        <v>3795</v>
      </c>
      <c r="K592" s="104">
        <f t="shared" si="48"/>
        <v>6955.68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230</v>
      </c>
      <c r="I594" s="18"/>
      <c r="J594" s="18"/>
      <c r="K594" s="104">
        <f t="shared" si="48"/>
        <v>230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8033.33</v>
      </c>
      <c r="I595" s="18"/>
      <c r="J595" s="18"/>
      <c r="K595" s="104">
        <f t="shared" si="48"/>
        <v>8033.33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60862.8</v>
      </c>
      <c r="I598" s="108">
        <f>SUM(I591:I597)</f>
        <v>0</v>
      </c>
      <c r="J598" s="108">
        <f>SUM(J591:J597)</f>
        <v>53233.78</v>
      </c>
      <c r="K598" s="108">
        <f>SUM(K591:K597)</f>
        <v>114096.58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30236.15</v>
      </c>
      <c r="I604" s="18"/>
      <c r="J604" s="18"/>
      <c r="K604" s="104">
        <f>SUM(H604:J604)</f>
        <v>30236.15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30236.15</v>
      </c>
      <c r="I605" s="108">
        <f>SUM(I602:I604)</f>
        <v>0</v>
      </c>
      <c r="J605" s="108">
        <f>SUM(J602:J604)</f>
        <v>0</v>
      </c>
      <c r="K605" s="108">
        <f>SUM(K602:K604)</f>
        <v>30236.15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0</v>
      </c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162983.85999999999</v>
      </c>
      <c r="H617" s="109">
        <f>SUM(F52)</f>
        <v>162983.85999999999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2370.88</v>
      </c>
      <c r="H618" s="109">
        <f>SUM(G52)</f>
        <v>2370.88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15369.83</v>
      </c>
      <c r="H619" s="109">
        <f>SUM(H52)</f>
        <v>15369.83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365711.28</v>
      </c>
      <c r="H621" s="109">
        <f>SUM(J52)</f>
        <v>365711.28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158589.4</v>
      </c>
      <c r="H622" s="109">
        <f>F476</f>
        <v>158589.39999999991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365711.28</v>
      </c>
      <c r="H626" s="109">
        <f>J476</f>
        <v>365711.28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1767439.4</v>
      </c>
      <c r="H627" s="104">
        <f>SUM(F468)</f>
        <v>1767439.4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52039.06</v>
      </c>
      <c r="H628" s="104">
        <f>SUM(G468)</f>
        <v>52039.06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110822.37</v>
      </c>
      <c r="H629" s="104">
        <f>SUM(H468)</f>
        <v>110822.37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2471.58</v>
      </c>
      <c r="H631" s="104">
        <f>SUM(J468)</f>
        <v>2471.58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1851421.26</v>
      </c>
      <c r="H632" s="104">
        <f>SUM(F472)</f>
        <v>1851421.26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110822.37</v>
      </c>
      <c r="H633" s="104">
        <f>SUM(H472)</f>
        <v>110822.37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52039.06</v>
      </c>
      <c r="H635" s="104">
        <f>SUM(G472)</f>
        <v>52039.06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2471.58</v>
      </c>
      <c r="H637" s="164">
        <f>SUM(J468)</f>
        <v>2471.58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365711.28</v>
      </c>
      <c r="H640" s="104">
        <f>SUM(G461)</f>
        <v>365711.28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365711.28</v>
      </c>
      <c r="H642" s="104">
        <f>SUM(I461)</f>
        <v>365711.28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2471.58</v>
      </c>
      <c r="H644" s="104">
        <f>H408</f>
        <v>2471.58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2471.58</v>
      </c>
      <c r="H646" s="104">
        <f>L408</f>
        <v>2471.58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114096.58</v>
      </c>
      <c r="H647" s="104">
        <f>L208+L226+L244</f>
        <v>114096.58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30236.15</v>
      </c>
      <c r="H648" s="104">
        <f>(J257+J338)-(J255+J336)</f>
        <v>30236.149999999998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60862.8</v>
      </c>
      <c r="H649" s="104">
        <f>H598</f>
        <v>60862.8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53233.78</v>
      </c>
      <c r="H651" s="104">
        <f>J598</f>
        <v>53233.78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11312.77</v>
      </c>
      <c r="H652" s="104">
        <f>K263+K345</f>
        <v>11312.77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1564764.0899999999</v>
      </c>
      <c r="G660" s="19">
        <f>(L229+L309+L359)</f>
        <v>0</v>
      </c>
      <c r="H660" s="19">
        <f>(L247+L328+L360)</f>
        <v>422593.98</v>
      </c>
      <c r="I660" s="19">
        <f>SUM(F660:H660)</f>
        <v>1987358.0699999998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2791.01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2791.01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63743.310000000005</v>
      </c>
      <c r="G662" s="19">
        <f>(L226+L306)-(J226+J306)</f>
        <v>0</v>
      </c>
      <c r="H662" s="19">
        <f>(L244+L325)-(J244+J325)</f>
        <v>53233.78</v>
      </c>
      <c r="I662" s="19">
        <f>SUM(F662:H662)</f>
        <v>116977.09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47946.710000000006</v>
      </c>
      <c r="G663" s="199">
        <f>SUM(G575:G587)+SUM(I602:I604)+L612</f>
        <v>0</v>
      </c>
      <c r="H663" s="199">
        <f>SUM(H575:H587)+SUM(J602:J604)+L613</f>
        <v>309066.09000000003</v>
      </c>
      <c r="I663" s="19">
        <f>SUM(F663:H663)</f>
        <v>357012.80000000005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1450283.0599999998</v>
      </c>
      <c r="G664" s="19">
        <f>G660-SUM(G661:G663)</f>
        <v>0</v>
      </c>
      <c r="H664" s="19">
        <f>H660-SUM(H661:H663)</f>
        <v>60294.109999999986</v>
      </c>
      <c r="I664" s="19">
        <f>I660-SUM(I661:I663)</f>
        <v>1510577.17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56.55</v>
      </c>
      <c r="G665" s="248"/>
      <c r="H665" s="248"/>
      <c r="I665" s="19">
        <f>SUM(F665:H665)</f>
        <v>56.55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25646.03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26712.240000000002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-60294.11</v>
      </c>
      <c r="I669" s="19">
        <f>SUM(F669:H669)</f>
        <v>-60294.11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25646.03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25646.03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STRATFORD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411078.14</v>
      </c>
      <c r="C9" s="229">
        <f>'DOE25'!G197+'DOE25'!G215+'DOE25'!G233+'DOE25'!G276+'DOE25'!G295+'DOE25'!G314</f>
        <v>186776.96000000002</v>
      </c>
    </row>
    <row r="10" spans="1:3" x14ac:dyDescent="0.2">
      <c r="A10" t="s">
        <v>778</v>
      </c>
      <c r="B10" s="240">
        <f>411078.14-5218.02</f>
        <v>405860.12</v>
      </c>
      <c r="C10" s="240">
        <f>186776.96-399.18</f>
        <v>186377.78</v>
      </c>
    </row>
    <row r="11" spans="1:3" x14ac:dyDescent="0.2">
      <c r="A11" t="s">
        <v>779</v>
      </c>
      <c r="B11" s="240">
        <v>5218.0200000000004</v>
      </c>
      <c r="C11" s="240">
        <v>399.18</v>
      </c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411078.14</v>
      </c>
      <c r="C13" s="231">
        <f>SUM(C10:C12)</f>
        <v>186776.95999999999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72700.94</v>
      </c>
      <c r="C18" s="229">
        <f>'DOE25'!G198+'DOE25'!G216+'DOE25'!G234+'DOE25'!G277+'DOE25'!G296+'DOE25'!G315</f>
        <v>27560.58</v>
      </c>
    </row>
    <row r="19" spans="1:3" x14ac:dyDescent="0.2">
      <c r="A19" t="s">
        <v>778</v>
      </c>
      <c r="B19" s="240">
        <f>72700.94-31950.94</f>
        <v>40750</v>
      </c>
      <c r="C19" s="240">
        <f>27560.58-2444.25</f>
        <v>25116.33</v>
      </c>
    </row>
    <row r="20" spans="1:3" x14ac:dyDescent="0.2">
      <c r="A20" t="s">
        <v>779</v>
      </c>
      <c r="B20" s="240">
        <v>31950.94</v>
      </c>
      <c r="C20" s="240">
        <v>2444.25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72700.94</v>
      </c>
      <c r="C22" s="231">
        <f>SUM(C19:C21)</f>
        <v>27560.58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2215</v>
      </c>
      <c r="C36" s="235">
        <f>'DOE25'!G200+'DOE25'!G218+'DOE25'!G236+'DOE25'!G279+'DOE25'!G298+'DOE25'!G317</f>
        <v>534.94000000000005</v>
      </c>
    </row>
    <row r="37" spans="1:3" x14ac:dyDescent="0.2">
      <c r="A37" t="s">
        <v>778</v>
      </c>
      <c r="B37" s="240">
        <v>2215</v>
      </c>
      <c r="C37" s="240">
        <v>534.94000000000005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2215</v>
      </c>
      <c r="C40" s="231">
        <f>SUM(C37:C39)</f>
        <v>534.94000000000005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STRATFORD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1060929.3999999999</v>
      </c>
      <c r="D5" s="20">
        <f>SUM('DOE25'!L197:L200)+SUM('DOE25'!L215:L218)+SUM('DOE25'!L233:L236)-F5-G5</f>
        <v>1044671.6599999999</v>
      </c>
      <c r="E5" s="243"/>
      <c r="F5" s="255">
        <f>SUM('DOE25'!J197:J200)+SUM('DOE25'!J215:J218)+SUM('DOE25'!J233:J236)</f>
        <v>15632.739999999998</v>
      </c>
      <c r="G5" s="53">
        <f>SUM('DOE25'!K197:K200)+SUM('DOE25'!K215:K218)+SUM('DOE25'!K233:K236)</f>
        <v>625</v>
      </c>
      <c r="H5" s="259"/>
    </row>
    <row r="6" spans="1:9" x14ac:dyDescent="0.2">
      <c r="A6" s="32">
        <v>2100</v>
      </c>
      <c r="B6" t="s">
        <v>800</v>
      </c>
      <c r="C6" s="245">
        <f t="shared" si="0"/>
        <v>90045.790000000008</v>
      </c>
      <c r="D6" s="20">
        <f>'DOE25'!L202+'DOE25'!L220+'DOE25'!L238-F6-G6</f>
        <v>89906.790000000008</v>
      </c>
      <c r="E6" s="243"/>
      <c r="F6" s="255">
        <f>'DOE25'!J202+'DOE25'!J220+'DOE25'!J238</f>
        <v>0</v>
      </c>
      <c r="G6" s="53">
        <f>'DOE25'!K202+'DOE25'!K220+'DOE25'!K238</f>
        <v>139</v>
      </c>
      <c r="H6" s="259"/>
    </row>
    <row r="7" spans="1:9" x14ac:dyDescent="0.2">
      <c r="A7" s="32">
        <v>2200</v>
      </c>
      <c r="B7" t="s">
        <v>833</v>
      </c>
      <c r="C7" s="245">
        <f t="shared" si="0"/>
        <v>43762.459999999992</v>
      </c>
      <c r="D7" s="20">
        <f>'DOE25'!L203+'DOE25'!L221+'DOE25'!L239-F7-G7</f>
        <v>43563.959999999992</v>
      </c>
      <c r="E7" s="243"/>
      <c r="F7" s="255">
        <f>'DOE25'!J203+'DOE25'!J221+'DOE25'!J239</f>
        <v>0</v>
      </c>
      <c r="G7" s="53">
        <f>'DOE25'!K203+'DOE25'!K221+'DOE25'!K239</f>
        <v>198.5</v>
      </c>
      <c r="H7" s="259"/>
    </row>
    <row r="8" spans="1:9" x14ac:dyDescent="0.2">
      <c r="A8" s="32">
        <v>2300</v>
      </c>
      <c r="B8" t="s">
        <v>801</v>
      </c>
      <c r="C8" s="245">
        <f t="shared" si="0"/>
        <v>76120.179999999949</v>
      </c>
      <c r="D8" s="243"/>
      <c r="E8" s="20">
        <f>'DOE25'!L204+'DOE25'!L222+'DOE25'!L240-F8-G8-D9-D11</f>
        <v>73332.919999999955</v>
      </c>
      <c r="F8" s="255">
        <f>'DOE25'!J204+'DOE25'!J222+'DOE25'!J240</f>
        <v>0</v>
      </c>
      <c r="G8" s="53">
        <f>'DOE25'!K204+'DOE25'!K222+'DOE25'!K240</f>
        <v>2787.26</v>
      </c>
      <c r="H8" s="259"/>
    </row>
    <row r="9" spans="1:9" x14ac:dyDescent="0.2">
      <c r="A9" s="32">
        <v>2310</v>
      </c>
      <c r="B9" t="s">
        <v>817</v>
      </c>
      <c r="C9" s="245">
        <f t="shared" si="0"/>
        <v>23307.19</v>
      </c>
      <c r="D9" s="244">
        <v>23307.19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7800</v>
      </c>
      <c r="D10" s="243"/>
      <c r="E10" s="244">
        <v>7800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37581.85</v>
      </c>
      <c r="D11" s="244">
        <v>37581.85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180614.11999999997</v>
      </c>
      <c r="D12" s="20">
        <f>'DOE25'!L205+'DOE25'!L223+'DOE25'!L241-F12-G12</f>
        <v>177830.23999999996</v>
      </c>
      <c r="E12" s="243"/>
      <c r="F12" s="255">
        <f>'DOE25'!J205+'DOE25'!J223+'DOE25'!J241</f>
        <v>0</v>
      </c>
      <c r="G12" s="53">
        <f>'DOE25'!K205+'DOE25'!K223+'DOE25'!K241</f>
        <v>2783.88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198039.07</v>
      </c>
      <c r="D14" s="20">
        <f>'DOE25'!L207+'DOE25'!L225+'DOE25'!L243-F14-G14</f>
        <v>188911.66</v>
      </c>
      <c r="E14" s="243"/>
      <c r="F14" s="255">
        <f>'DOE25'!J207+'DOE25'!J225+'DOE25'!J243</f>
        <v>9127.41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114096.58</v>
      </c>
      <c r="D15" s="20">
        <f>'DOE25'!L208+'DOE25'!L226+'DOE25'!L244-F15-G15</f>
        <v>114096.58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15611.85</v>
      </c>
      <c r="D22" s="243"/>
      <c r="E22" s="243"/>
      <c r="F22" s="255">
        <f>'DOE25'!L255+'DOE25'!L336</f>
        <v>15611.85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52039.06</v>
      </c>
      <c r="D29" s="20">
        <f>'DOE25'!L358+'DOE25'!L359+'DOE25'!L360-'DOE25'!I367-F29-G29</f>
        <v>52039.06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110822.37</v>
      </c>
      <c r="D31" s="20">
        <f>'DOE25'!L290+'DOE25'!L309+'DOE25'!L328+'DOE25'!L333+'DOE25'!L334+'DOE25'!L335-F31-G31</f>
        <v>105196.37</v>
      </c>
      <c r="E31" s="243"/>
      <c r="F31" s="255">
        <f>'DOE25'!J290+'DOE25'!J309+'DOE25'!J328+'DOE25'!J333+'DOE25'!J334+'DOE25'!J335</f>
        <v>5476</v>
      </c>
      <c r="G31" s="53">
        <f>'DOE25'!K290+'DOE25'!K309+'DOE25'!K328+'DOE25'!K333+'DOE25'!K334+'DOE25'!K335</f>
        <v>150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1877105.3599999999</v>
      </c>
      <c r="E33" s="246">
        <f>SUM(E5:E31)</f>
        <v>81132.919999999955</v>
      </c>
      <c r="F33" s="246">
        <f>SUM(F5:F31)</f>
        <v>45848</v>
      </c>
      <c r="G33" s="246">
        <f>SUM(G5:G31)</f>
        <v>6683.64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81132.919999999955</v>
      </c>
      <c r="E35" s="249"/>
    </row>
    <row r="36" spans="2:8" ht="12" thickTop="1" x14ac:dyDescent="0.2">
      <c r="B36" t="s">
        <v>814</v>
      </c>
      <c r="D36" s="20">
        <f>D33</f>
        <v>1877105.3599999999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69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STRATFORD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145243.15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365711.28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17740.71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2370.88</v>
      </c>
      <c r="E13" s="95">
        <f>'DOE25'!H14</f>
        <v>15369.83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162983.85999999999</v>
      </c>
      <c r="D18" s="41">
        <f>SUM(D8:D17)</f>
        <v>2370.88</v>
      </c>
      <c r="E18" s="41">
        <f>SUM(E8:E17)</f>
        <v>15369.83</v>
      </c>
      <c r="F18" s="41">
        <f>SUM(F8:F17)</f>
        <v>0</v>
      </c>
      <c r="G18" s="41">
        <f>SUM(G8:G17)</f>
        <v>365711.28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2370.88</v>
      </c>
      <c r="E21" s="95">
        <f>'DOE25'!H22</f>
        <v>15369.83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4394.46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4394.46</v>
      </c>
      <c r="D31" s="41">
        <f>SUM(D21:D30)</f>
        <v>2370.88</v>
      </c>
      <c r="E31" s="41">
        <f>SUM(E21:E30)</f>
        <v>15369.83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365711.28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22870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135719.4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158589.4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365711.28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162983.85999999999</v>
      </c>
      <c r="D51" s="41">
        <f>D50+D31</f>
        <v>2370.88</v>
      </c>
      <c r="E51" s="41">
        <f>E50+E31</f>
        <v>15369.83</v>
      </c>
      <c r="F51" s="41">
        <f>F50+F31</f>
        <v>0</v>
      </c>
      <c r="G51" s="41">
        <f>G50+G31</f>
        <v>365711.28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809939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45243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759.53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2471.58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2791.01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25240.5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71243.03</v>
      </c>
      <c r="D62" s="130">
        <f>SUM(D57:D61)</f>
        <v>2791.01</v>
      </c>
      <c r="E62" s="130">
        <f>SUM(E57:E61)</f>
        <v>0</v>
      </c>
      <c r="F62" s="130">
        <f>SUM(F57:F61)</f>
        <v>0</v>
      </c>
      <c r="G62" s="130">
        <f>SUM(G57:G61)</f>
        <v>2471.58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881182.03</v>
      </c>
      <c r="D63" s="22">
        <f>D56+D62</f>
        <v>2791.01</v>
      </c>
      <c r="E63" s="22">
        <f>E56+E62</f>
        <v>0</v>
      </c>
      <c r="F63" s="22">
        <f>F56+F62</f>
        <v>0</v>
      </c>
      <c r="G63" s="22">
        <f>G56+G62</f>
        <v>2471.58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778490.25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104843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1532.69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884865.94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499.81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499.81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884865.94</v>
      </c>
      <c r="D81" s="130">
        <f>SUM(D79:D80)+D78+D70</f>
        <v>499.81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1391.43</v>
      </c>
      <c r="D88" s="95">
        <f>SUM('DOE25'!G153:G161)</f>
        <v>37435.47</v>
      </c>
      <c r="E88" s="95">
        <f>SUM('DOE25'!H153:H161)</f>
        <v>110822.37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1391.43</v>
      </c>
      <c r="D91" s="131">
        <f>SUM(D85:D90)</f>
        <v>37435.47</v>
      </c>
      <c r="E91" s="131">
        <f>SUM(E85:E90)</f>
        <v>110822.37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11312.77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11312.77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1767439.4</v>
      </c>
      <c r="D104" s="86">
        <f>D63+D81+D91+D103</f>
        <v>52039.06</v>
      </c>
      <c r="E104" s="86">
        <f>E63+E81+E91+E103</f>
        <v>110822.37</v>
      </c>
      <c r="F104" s="86">
        <f>F63+F81+F91+F103</f>
        <v>0</v>
      </c>
      <c r="G104" s="86">
        <f>G63+G81+G103</f>
        <v>2471.58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896110.71</v>
      </c>
      <c r="D109" s="24" t="s">
        <v>288</v>
      </c>
      <c r="E109" s="95">
        <f>('DOE25'!L276)+('DOE25'!L295)+('DOE25'!L314)</f>
        <v>76320.92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161314.25</v>
      </c>
      <c r="D110" s="24" t="s">
        <v>288</v>
      </c>
      <c r="E110" s="95">
        <f>('DOE25'!L277)+('DOE25'!L296)+('DOE25'!L315)</f>
        <v>19787.439999999999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3504.44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1060929.3999999999</v>
      </c>
      <c r="D115" s="86">
        <f>SUM(D109:D114)</f>
        <v>0</v>
      </c>
      <c r="E115" s="86">
        <f>SUM(E109:E114)</f>
        <v>96108.36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90045.790000000008</v>
      </c>
      <c r="D118" s="24" t="s">
        <v>288</v>
      </c>
      <c r="E118" s="95">
        <f>+('DOE25'!L281)+('DOE25'!L300)+('DOE25'!L319)</f>
        <v>10333.5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43762.459999999992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137009.21999999997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180614.11999999997</v>
      </c>
      <c r="D121" s="24" t="s">
        <v>288</v>
      </c>
      <c r="E121" s="95">
        <f>+('DOE25'!L284)+('DOE25'!L303)+('DOE25'!L322)</f>
        <v>1500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198039.07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114096.58</v>
      </c>
      <c r="D124" s="24" t="s">
        <v>288</v>
      </c>
      <c r="E124" s="95">
        <f>+('DOE25'!L287)+('DOE25'!L306)+('DOE25'!L325)</f>
        <v>2880.51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52039.06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763567.23999999987</v>
      </c>
      <c r="D128" s="86">
        <f>SUM(D118:D127)</f>
        <v>52039.06</v>
      </c>
      <c r="E128" s="86">
        <f>SUM(E118:E127)</f>
        <v>14714.01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15611.85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11312.77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2471.58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-2471.58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26924.620000000003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1851421.2599999998</v>
      </c>
      <c r="D145" s="86">
        <f>(D115+D128+D144)</f>
        <v>52039.06</v>
      </c>
      <c r="E145" s="86">
        <f>(E115+E128+E144)</f>
        <v>110822.37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STRATFORD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25646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25646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972432</v>
      </c>
      <c r="D10" s="182">
        <f>ROUND((C10/$C$28)*100,1)</f>
        <v>49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181102</v>
      </c>
      <c r="D11" s="182">
        <f>ROUND((C11/$C$28)*100,1)</f>
        <v>9.1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3504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100379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43762</v>
      </c>
      <c r="D16" s="182">
        <f t="shared" si="0"/>
        <v>2.2000000000000002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137009</v>
      </c>
      <c r="D17" s="182">
        <f t="shared" si="0"/>
        <v>6.9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182114</v>
      </c>
      <c r="D18" s="182">
        <f t="shared" si="0"/>
        <v>9.1999999999999993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198039</v>
      </c>
      <c r="D20" s="182">
        <f t="shared" si="0"/>
        <v>10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116977</v>
      </c>
      <c r="D21" s="182">
        <f t="shared" si="0"/>
        <v>5.9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49247.99</v>
      </c>
      <c r="D27" s="182">
        <f t="shared" si="0"/>
        <v>2.5</v>
      </c>
    </row>
    <row r="28" spans="1:4" x14ac:dyDescent="0.2">
      <c r="B28" s="187" t="s">
        <v>722</v>
      </c>
      <c r="C28" s="180">
        <f>SUM(C10:C27)</f>
        <v>1984565.99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15612</v>
      </c>
    </row>
    <row r="30" spans="1:4" x14ac:dyDescent="0.2">
      <c r="B30" s="187" t="s">
        <v>728</v>
      </c>
      <c r="C30" s="180">
        <f>SUM(C28:C29)</f>
        <v>2000177.99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809939</v>
      </c>
      <c r="D35" s="182">
        <f t="shared" ref="D35:D40" si="1">ROUND((C35/$C$41)*100,1)</f>
        <v>42.2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73714.609999999986</v>
      </c>
      <c r="D36" s="182">
        <f t="shared" si="1"/>
        <v>3.8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883333</v>
      </c>
      <c r="D37" s="182">
        <f t="shared" si="1"/>
        <v>46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2033</v>
      </c>
      <c r="D38" s="182">
        <f t="shared" si="1"/>
        <v>0.1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149649</v>
      </c>
      <c r="D39" s="182">
        <f t="shared" si="1"/>
        <v>7.8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1918668.6099999999</v>
      </c>
      <c r="D41" s="184">
        <f>SUM(D35:D40)</f>
        <v>99.899999999999991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STRATFORD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2017-07-31T15:37:26Z</cp:lastPrinted>
  <dcterms:created xsi:type="dcterms:W3CDTF">1997-12-04T19:04:30Z</dcterms:created>
  <dcterms:modified xsi:type="dcterms:W3CDTF">2017-11-29T18:06:32Z</dcterms:modified>
</cp:coreProperties>
</file>