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87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7" i="1" l="1"/>
  <c r="H225" i="1"/>
  <c r="H243" i="1"/>
  <c r="H604" i="1"/>
  <c r="I523" i="1" l="1"/>
  <c r="F523" i="1"/>
  <c r="I522" i="1"/>
  <c r="F522" i="1"/>
  <c r="J521" i="1"/>
  <c r="I521" i="1"/>
  <c r="F521" i="1"/>
  <c r="J244" i="1"/>
  <c r="J243" i="1"/>
  <c r="I243" i="1"/>
  <c r="H241" i="1"/>
  <c r="H204" i="1"/>
  <c r="H240" i="1"/>
  <c r="H222" i="1"/>
  <c r="J239" i="1"/>
  <c r="J221" i="1"/>
  <c r="J203" i="1"/>
  <c r="H203" i="1"/>
  <c r="H234" i="1"/>
  <c r="H216" i="1"/>
  <c r="H198" i="1"/>
  <c r="J233" i="1"/>
  <c r="J215" i="1"/>
  <c r="I233" i="1"/>
  <c r="I215" i="1"/>
  <c r="H233" i="1"/>
  <c r="H215" i="1"/>
  <c r="H197" i="1"/>
  <c r="H159" i="1"/>
  <c r="H161" i="1"/>
  <c r="G1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L250" i="1"/>
  <c r="L332" i="1"/>
  <c r="E113" i="2" s="1"/>
  <c r="L254" i="1"/>
  <c r="L268" i="1"/>
  <c r="L269" i="1"/>
  <c r="C143" i="2" s="1"/>
  <c r="L349" i="1"/>
  <c r="C26" i="10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D115" i="2"/>
  <c r="F115" i="2"/>
  <c r="G115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F460" i="1"/>
  <c r="F461" i="1" s="1"/>
  <c r="H639" i="1" s="1"/>
  <c r="G460" i="1"/>
  <c r="H460" i="1"/>
  <c r="G470" i="1"/>
  <c r="H470" i="1"/>
  <c r="I470" i="1"/>
  <c r="J470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8" i="1"/>
  <c r="H629" i="1"/>
  <c r="H630" i="1"/>
  <c r="H631" i="1"/>
  <c r="H633" i="1"/>
  <c r="G634" i="1"/>
  <c r="H635" i="1"/>
  <c r="H636" i="1"/>
  <c r="H637" i="1"/>
  <c r="H638" i="1"/>
  <c r="G643" i="1"/>
  <c r="J643" i="1" s="1"/>
  <c r="H643" i="1"/>
  <c r="G644" i="1"/>
  <c r="H644" i="1"/>
  <c r="G650" i="1"/>
  <c r="G652" i="1"/>
  <c r="H652" i="1"/>
  <c r="G653" i="1"/>
  <c r="H653" i="1"/>
  <c r="G654" i="1"/>
  <c r="H654" i="1"/>
  <c r="H655" i="1"/>
  <c r="F192" i="1"/>
  <c r="G62" i="2"/>
  <c r="E78" i="2"/>
  <c r="I169" i="1"/>
  <c r="I476" i="1"/>
  <c r="H625" i="1" s="1"/>
  <c r="G338" i="1"/>
  <c r="G352" i="1" s="1"/>
  <c r="J140" i="1"/>
  <c r="H571" i="1"/>
  <c r="G36" i="2"/>
  <c r="D50" i="2" l="1"/>
  <c r="L419" i="1"/>
  <c r="F22" i="13"/>
  <c r="C22" i="13" s="1"/>
  <c r="K545" i="1"/>
  <c r="K503" i="1"/>
  <c r="L256" i="1"/>
  <c r="E142" i="2"/>
  <c r="E125" i="2"/>
  <c r="E121" i="2"/>
  <c r="D19" i="13"/>
  <c r="C19" i="13" s="1"/>
  <c r="D18" i="13"/>
  <c r="C18" i="13" s="1"/>
  <c r="K605" i="1"/>
  <c r="G648" i="1" s="1"/>
  <c r="I571" i="1"/>
  <c r="J571" i="1"/>
  <c r="K571" i="1"/>
  <c r="J545" i="1"/>
  <c r="G161" i="2"/>
  <c r="L351" i="1"/>
  <c r="C125" i="2"/>
  <c r="E31" i="2"/>
  <c r="L565" i="1"/>
  <c r="L571" i="1" s="1"/>
  <c r="H476" i="1"/>
  <c r="H624" i="1" s="1"/>
  <c r="G461" i="1"/>
  <c r="H640" i="1" s="1"/>
  <c r="H192" i="1"/>
  <c r="L270" i="1"/>
  <c r="G476" i="1"/>
  <c r="H623" i="1" s="1"/>
  <c r="J655" i="1"/>
  <c r="G645" i="1"/>
  <c r="J644" i="1"/>
  <c r="J623" i="1"/>
  <c r="J476" i="1"/>
  <c r="H626" i="1" s="1"/>
  <c r="L393" i="1"/>
  <c r="C138" i="2" s="1"/>
  <c r="J639" i="1"/>
  <c r="J624" i="1"/>
  <c r="J641" i="1"/>
  <c r="C91" i="2"/>
  <c r="F18" i="2"/>
  <c r="H663" i="1"/>
  <c r="I663" i="1" s="1"/>
  <c r="L614" i="1"/>
  <c r="C25" i="10"/>
  <c r="C132" i="2"/>
  <c r="E122" i="2"/>
  <c r="E118" i="2"/>
  <c r="C35" i="10"/>
  <c r="H112" i="1"/>
  <c r="H193" i="1" s="1"/>
  <c r="G629" i="1" s="1"/>
  <c r="J629" i="1" s="1"/>
  <c r="J640" i="1"/>
  <c r="I545" i="1"/>
  <c r="L433" i="1"/>
  <c r="L434" i="1" s="1"/>
  <c r="G638" i="1" s="1"/>
  <c r="J638" i="1" s="1"/>
  <c r="H169" i="1"/>
  <c r="L401" i="1"/>
  <c r="C139" i="2" s="1"/>
  <c r="D17" i="13"/>
  <c r="C17" i="13" s="1"/>
  <c r="C29" i="10"/>
  <c r="G164" i="2"/>
  <c r="E103" i="2"/>
  <c r="L570" i="1"/>
  <c r="F571" i="1"/>
  <c r="K257" i="1"/>
  <c r="K271" i="1" s="1"/>
  <c r="I549" i="1"/>
  <c r="I552" i="1" s="1"/>
  <c r="L539" i="1"/>
  <c r="F130" i="2"/>
  <c r="F144" i="2" s="1"/>
  <c r="F145" i="2" s="1"/>
  <c r="G192" i="1"/>
  <c r="I52" i="1"/>
  <c r="H620" i="1" s="1"/>
  <c r="E81" i="2"/>
  <c r="J645" i="1"/>
  <c r="H52" i="1"/>
  <c r="H619" i="1" s="1"/>
  <c r="J619" i="1" s="1"/>
  <c r="D62" i="2"/>
  <c r="D63" i="2" s="1"/>
  <c r="A13" i="12"/>
  <c r="H25" i="13"/>
  <c r="G625" i="1"/>
  <c r="J625" i="1" s="1"/>
  <c r="K500" i="1"/>
  <c r="I460" i="1"/>
  <c r="I452" i="1"/>
  <c r="I446" i="1"/>
  <c r="G642" i="1" s="1"/>
  <c r="K338" i="1"/>
  <c r="K352" i="1" s="1"/>
  <c r="D91" i="2"/>
  <c r="C123" i="2"/>
  <c r="C112" i="2"/>
  <c r="D18" i="2"/>
  <c r="K598" i="1"/>
  <c r="G647" i="1" s="1"/>
  <c r="J651" i="1"/>
  <c r="L544" i="1"/>
  <c r="J552" i="1"/>
  <c r="K549" i="1"/>
  <c r="K550" i="1"/>
  <c r="L534" i="1"/>
  <c r="H552" i="1"/>
  <c r="H545" i="1"/>
  <c r="G545" i="1"/>
  <c r="L529" i="1"/>
  <c r="K551" i="1"/>
  <c r="F552" i="1"/>
  <c r="L524" i="1"/>
  <c r="D7" i="13"/>
  <c r="C7" i="13" s="1"/>
  <c r="J257" i="1"/>
  <c r="J271" i="1" s="1"/>
  <c r="I369" i="1"/>
  <c r="H634" i="1" s="1"/>
  <c r="J634" i="1" s="1"/>
  <c r="D29" i="13"/>
  <c r="C29" i="13" s="1"/>
  <c r="G661" i="1"/>
  <c r="D127" i="2"/>
  <c r="D128" i="2" s="1"/>
  <c r="D145" i="2" s="1"/>
  <c r="L362" i="1"/>
  <c r="C27" i="10" s="1"/>
  <c r="H661" i="1"/>
  <c r="F661" i="1"/>
  <c r="E119" i="2"/>
  <c r="L328" i="1"/>
  <c r="L309" i="1"/>
  <c r="H338" i="1"/>
  <c r="H352" i="1" s="1"/>
  <c r="F338" i="1"/>
  <c r="F352" i="1" s="1"/>
  <c r="E110" i="2"/>
  <c r="L290" i="1"/>
  <c r="C16" i="10"/>
  <c r="E109" i="2"/>
  <c r="C78" i="2"/>
  <c r="C81" i="2"/>
  <c r="F112" i="1"/>
  <c r="C62" i="2"/>
  <c r="C63" i="2" s="1"/>
  <c r="E8" i="13"/>
  <c r="C8" i="13" s="1"/>
  <c r="A31" i="12"/>
  <c r="I257" i="1"/>
  <c r="I271" i="1" s="1"/>
  <c r="G257" i="1"/>
  <c r="G271" i="1" s="1"/>
  <c r="C18" i="10"/>
  <c r="D12" i="13"/>
  <c r="C12" i="13" s="1"/>
  <c r="C121" i="2"/>
  <c r="C118" i="2"/>
  <c r="H257" i="1"/>
  <c r="H271" i="1" s="1"/>
  <c r="C19" i="10"/>
  <c r="C120" i="2"/>
  <c r="C21" i="10"/>
  <c r="C20" i="10"/>
  <c r="D14" i="13"/>
  <c r="C14" i="13" s="1"/>
  <c r="C122" i="2"/>
  <c r="C119" i="2"/>
  <c r="D6" i="13"/>
  <c r="C6" i="13" s="1"/>
  <c r="C11" i="10"/>
  <c r="L247" i="1"/>
  <c r="H660" i="1" s="1"/>
  <c r="E13" i="13"/>
  <c r="C13" i="13" s="1"/>
  <c r="C17" i="10"/>
  <c r="C15" i="10"/>
  <c r="C13" i="10"/>
  <c r="L229" i="1"/>
  <c r="C12" i="10"/>
  <c r="C10" i="10"/>
  <c r="F257" i="1"/>
  <c r="F271" i="1" s="1"/>
  <c r="C16" i="13"/>
  <c r="G649" i="1"/>
  <c r="J649" i="1" s="1"/>
  <c r="H647" i="1"/>
  <c r="D15" i="13"/>
  <c r="C15" i="13" s="1"/>
  <c r="C124" i="2"/>
  <c r="F662" i="1"/>
  <c r="I662" i="1" s="1"/>
  <c r="C111" i="2"/>
  <c r="L211" i="1"/>
  <c r="C110" i="2"/>
  <c r="D5" i="13"/>
  <c r="C5" i="13" s="1"/>
  <c r="C109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E51" i="2" l="1"/>
  <c r="C39" i="10"/>
  <c r="E128" i="2"/>
  <c r="L408" i="1"/>
  <c r="G637" i="1" s="1"/>
  <c r="J637" i="1" s="1"/>
  <c r="C141" i="2"/>
  <c r="C144" i="2" s="1"/>
  <c r="C36" i="10"/>
  <c r="G51" i="2"/>
  <c r="D104" i="2"/>
  <c r="E104" i="2"/>
  <c r="I461" i="1"/>
  <c r="H642" i="1" s="1"/>
  <c r="J642" i="1" s="1"/>
  <c r="C25" i="13"/>
  <c r="H33" i="13"/>
  <c r="J647" i="1"/>
  <c r="I193" i="1"/>
  <c r="G630" i="1" s="1"/>
  <c r="J630" i="1" s="1"/>
  <c r="G104" i="2"/>
  <c r="K552" i="1"/>
  <c r="L545" i="1"/>
  <c r="H648" i="1"/>
  <c r="J648" i="1" s="1"/>
  <c r="G635" i="1"/>
  <c r="J635" i="1" s="1"/>
  <c r="I661" i="1"/>
  <c r="H664" i="1"/>
  <c r="H667" i="1" s="1"/>
  <c r="G660" i="1"/>
  <c r="G664" i="1" s="1"/>
  <c r="G667" i="1" s="1"/>
  <c r="L338" i="1"/>
  <c r="L352" i="1" s="1"/>
  <c r="G633" i="1" s="1"/>
  <c r="J633" i="1" s="1"/>
  <c r="E115" i="2"/>
  <c r="E145" i="2" s="1"/>
  <c r="D31" i="13"/>
  <c r="C31" i="13" s="1"/>
  <c r="F660" i="1"/>
  <c r="C104" i="2"/>
  <c r="F193" i="1"/>
  <c r="E33" i="13"/>
  <c r="D35" i="13" s="1"/>
  <c r="C128" i="2"/>
  <c r="C28" i="10"/>
  <c r="D22" i="10" s="1"/>
  <c r="L257" i="1"/>
  <c r="L271" i="1" s="1"/>
  <c r="C115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27" i="1" l="1"/>
  <c r="F468" i="1"/>
  <c r="G632" i="1"/>
  <c r="F472" i="1"/>
  <c r="H646" i="1"/>
  <c r="J646" i="1" s="1"/>
  <c r="H672" i="1"/>
  <c r="C6" i="10" s="1"/>
  <c r="G672" i="1"/>
  <c r="C5" i="10" s="1"/>
  <c r="I660" i="1"/>
  <c r="I664" i="1" s="1"/>
  <c r="I672" i="1" s="1"/>
  <c r="C7" i="10" s="1"/>
  <c r="D33" i="13"/>
  <c r="D36" i="13" s="1"/>
  <c r="F664" i="1"/>
  <c r="F672" i="1" s="1"/>
  <c r="C4" i="10" s="1"/>
  <c r="C145" i="2"/>
  <c r="D24" i="10"/>
  <c r="D16" i="10"/>
  <c r="D23" i="10"/>
  <c r="D17" i="10"/>
  <c r="C30" i="10"/>
  <c r="D27" i="10"/>
  <c r="D10" i="10"/>
  <c r="D26" i="10"/>
  <c r="D20" i="10"/>
  <c r="D25" i="10"/>
  <c r="D13" i="10"/>
  <c r="D21" i="10"/>
  <c r="D18" i="10"/>
  <c r="D12" i="10"/>
  <c r="D15" i="10"/>
  <c r="D19" i="10"/>
  <c r="D11" i="10"/>
  <c r="C41" i="10"/>
  <c r="D38" i="10" s="1"/>
  <c r="H627" i="1" l="1"/>
  <c r="J627" i="1" s="1"/>
  <c r="F470" i="1"/>
  <c r="H632" i="1"/>
  <c r="J632" i="1" s="1"/>
  <c r="F474" i="1"/>
  <c r="I667" i="1"/>
  <c r="F667" i="1"/>
  <c r="D28" i="10"/>
  <c r="D37" i="10"/>
  <c r="D36" i="10"/>
  <c r="D35" i="10"/>
  <c r="D40" i="10"/>
  <c r="D39" i="10"/>
  <c r="F476" i="1" l="1"/>
  <c r="H622" i="1" s="1"/>
  <c r="H656" i="1" s="1"/>
  <c r="D41" i="10"/>
  <c r="J622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<sst xmlns="http://schemas.openxmlformats.org/spreadsheetml/2006/main" count="3956" uniqueCount="914">
  <si>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</si>
  <si>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</si>
  <si>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</si>
  <si>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</si>
  <si>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</si>
  <si>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</si>
  <si>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</si>
  <si>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</si>
  <si>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</si>
  <si>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</si>
  <si>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</si>
  <si>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</si>
  <si>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</si>
  <si>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</si>
  <si>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</si>
  <si>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</si>
  <si>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</si>
  <si>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</si>
  <si>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</si>
  <si>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</si>
  <si>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</si>
  <si>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</si>
  <si>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</si>
  <si>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</si>
  <si>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</si>
  <si>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</si>
  <si>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</si>
  <si>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</si>
  <si>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</si>
  <si>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</si>
  <si>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</si>
  <si>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</si>
  <si>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</si>
  <si>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</si>
  <si>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</si>
  <si>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</si>
  <si>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</si>
  <si>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</si>
  <si>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</si>
  <si>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</si>
  <si>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</si>
  <si>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</si>
  <si>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</si>
  <si>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</si>
  <si>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</si>
  <si>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</si>
  <si>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</si>
  <si>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</si>
  <si>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</si>
  <si>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</si>
  <si>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</si>
  <si>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</si>
  <si>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</si>
  <si>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</si>
  <si>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</si>
  <si>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</si>
  <si>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</si>
  <si>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</si>
  <si>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</si>
  <si>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</si>
  <si>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</si>
  <si>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</si>
  <si>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</si>
  <si>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</si>
  <si>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</si>
  <si>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</si>
  <si>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</si>
  <si>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</si>
  <si>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</si>
  <si>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</si>
  <si>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</si>
  <si>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</si>
  <si>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</si>
  <si>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</si>
  <si>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</si>
  <si>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</si>
  <si>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</si>
  <si>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</si>
  <si>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</si>
  <si>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</si>
  <si>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</si>
  <si>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</si>
  <si>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</si>
  <si>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</si>
  <si>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</si>
  <si>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</si>
  <si>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</si>
  <si>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</si>
  <si>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</si>
  <si>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</si>
  <si>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</si>
  <si>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</si>
  <si>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</si>
  <si>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</si>
  <si>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</si>
  <si>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</si>
  <si>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</si>
  <si>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</si>
  <si>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</si>
  <si>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</si>
  <si>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</si>
  <si>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</si>
  <si>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</si>
  <si>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</si>
  <si>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</si>
  <si>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</si>
  <si>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</si>
  <si>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</si>
  <si>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</si>
  <si>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</si>
  <si>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</si>
  <si>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</si>
  <si>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</si>
  <si>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</si>
  <si>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</si>
  <si>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</si>
  <si>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</si>
  <si>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</si>
  <si>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</si>
  <si>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</si>
  <si>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</si>
  <si>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</si>
  <si>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</si>
  <si>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</si>
  <si>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</si>
  <si>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</si>
  <si>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</si>
  <si>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</si>
  <si>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</si>
  <si>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</si>
  <si>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</si>
  <si>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</si>
  <si>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</si>
  <si>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</si>
  <si>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</si>
  <si>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</si>
  <si>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</si>
  <si>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</si>
  <si>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</si>
  <si>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</si>
  <si>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</si>
  <si>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</si>
  <si>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</si>
  <si>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</si>
  <si>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</si>
  <si>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</si>
  <si>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</si>
  <si>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</si>
  <si>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</si>
  <si>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</si>
  <si>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</si>
  <si>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</si>
  <si>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</si>
  <si>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</si>
  <si>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</si>
  <si>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</si>
  <si>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</si>
  <si>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</si>
  <si>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</si>
  <si>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</si>
  <si>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</si>
  <si>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</si>
  <si>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</si>
  <si>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</si>
  <si>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</si>
  <si>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</si>
  <si>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</si>
  <si>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</si>
  <si>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</si>
  <si>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</si>
  <si>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</si>
  <si>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</si>
  <si>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</si>
  <si>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</si>
  <si>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</si>
  <si>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</si>
  <si>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</si>
  <si>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</si>
  <si>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</si>
  <si>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</si>
  <si>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</si>
  <si>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</si>
  <si>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</si>
  <si>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</si>
  <si>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</si>
  <si>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</si>
  <si>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</si>
  <si>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</si>
  <si>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</si>
  <si>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</si>
  <si>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</si>
  <si>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</si>
  <si>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</si>
  <si>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</si>
  <si>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</si>
  <si>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</si>
  <si>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</si>
  <si>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</si>
  <si>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</si>
  <si>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</si>
  <si>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</si>
  <si>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</si>
  <si>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</si>
  <si>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</si>
  <si>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</si>
  <si>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</si>
  <si>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</si>
  <si>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</si>
  <si>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</si>
  <si>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</si>
  <si>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</si>
  <si>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</si>
  <si>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</si>
  <si>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</si>
  <si>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</si>
  <si>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</si>
  <si>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</si>
  <si>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</si>
  <si>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</si>
  <si>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</si>
  <si>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</si>
  <si>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</si>
  <si>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</si>
  <si>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</si>
  <si>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</si>
  <si>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</si>
  <si>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</si>
  <si>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</si>
  <si>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</si>
  <si>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</si>
  <si>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</si>
  <si>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</si>
  <si>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</si>
  <si>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</si>
  <si>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</si>
  <si>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</si>
  <si>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</si>
  <si>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</si>
  <si>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</si>
  <si>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</si>
  <si>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</si>
  <si>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</si>
  <si>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</si>
  <si>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</si>
  <si>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</si>
  <si>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</si>
  <si>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</si>
  <si>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</si>
  <si>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</si>
  <si>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</si>
  <si>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</si>
  <si>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</si>
  <si>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</si>
  <si>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</si>
  <si>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</si>
  <si>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</si>
  <si>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</si>
  <si>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</si>
  <si>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</si>
  <si>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</si>
  <si>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</si>
  <si>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</si>
  <si>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</si>
  <si>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</si>
  <si>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</si>
  <si>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</si>
  <si>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</si>
  <si>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</si>
  <si>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</si>
  <si>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</si>
  <si>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</si>
  <si>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</si>
  <si>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</si>
  <si>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</si>
  <si>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</si>
  <si>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</si>
  <si>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</si>
  <si>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</si>
  <si>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</si>
  <si>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</si>
  <si>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</si>
  <si>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</si>
  <si>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</si>
  <si>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</si>
  <si>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</si>
  <si>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</si>
  <si>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</si>
  <si>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</si>
  <si>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</si>
  <si>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</si>
  <si>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</si>
  <si>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</si>
  <si>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</si>
  <si>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</si>
  <si>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</si>
  <si>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</si>
  <si>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</si>
  <si>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</si>
  <si>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</si>
  <si>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</si>
  <si>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</si>
  <si>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</si>
  <si>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</si>
  <si>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</si>
  <si>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</si>
  <si>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</si>
  <si>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</si>
  <si>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</si>
  <si>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</si>
  <si>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</si>
  <si>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</si>
  <si>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</si>
  <si>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</si>
  <si>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</si>
  <si>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</si>
  <si>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</si>
  <si>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</si>
  <si>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</si>
  <si>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</si>
  <si>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</si>
  <si>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</si>
  <si>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</si>
  <si>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</si>
  <si>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</si>
  <si>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</si>
  <si>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</si>
  <si>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</si>
  <si>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</si>
  <si>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</si>
  <si>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</si>
  <si>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</si>
  <si>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</si>
  <si>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</si>
  <si>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</si>
  <si>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</si>
  <si>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</si>
  <si>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</si>
  <si>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</si>
  <si>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</si>
  <si>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</si>
  <si>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</si>
  <si>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</si>
  <si>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</si>
  <si>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</si>
  <si>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</si>
  <si>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</si>
  <si>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</si>
  <si>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</si>
  <si>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</si>
  <si>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</si>
  <si>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</si>
  <si>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</si>
  <si>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</si>
  <si>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</si>
  <si>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</si>
  <si>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</si>
  <si>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</si>
  <si>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</si>
  <si>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</si>
  <si>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</si>
  <si>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</si>
  <si>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</si>
  <si>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</si>
  <si>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</si>
  <si>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</si>
  <si>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</si>
  <si>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</si>
  <si>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</si>
  <si>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</si>
  <si>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</si>
  <si>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</si>
  <si>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</si>
  <si>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</si>
  <si>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</si>
  <si>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</si>
  <si>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</si>
  <si>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</si>
  <si>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</si>
  <si>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</si>
  <si>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</si>
  <si>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</si>
  <si>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</si>
  <si>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</si>
  <si>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</si>
  <si>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</si>
  <si>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</si>
  <si>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</si>
  <si>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</si>
  <si>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</si>
  <si>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</si>
  <si>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</si>
  <si>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</si>
  <si>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</si>
  <si>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</si>
  <si>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</si>
  <si>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</si>
  <si>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</si>
  <si>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</si>
  <si>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</si>
  <si>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</si>
  <si>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</si>
  <si>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</si>
  <si>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</si>
  <si>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</si>
  <si>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</si>
  <si>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</si>
  <si>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</si>
  <si>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</si>
  <si>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</si>
  <si>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</si>
  <si>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</si>
  <si>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</si>
  <si>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</si>
  <si>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</si>
  <si>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</si>
  <si>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</si>
  <si>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</si>
  <si>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</si>
  <si>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</si>
  <si>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</si>
  <si>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</si>
  <si>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</si>
  <si>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</si>
  <si>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</si>
  <si>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</si>
  <si>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</si>
  <si>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</si>
  <si>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</si>
  <si>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</si>
  <si>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</si>
  <si>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</si>
  <si>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</si>
  <si>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</si>
  <si>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</si>
  <si>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</si>
  <si>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</si>
  <si>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</si>
  <si>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</si>
  <si>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</si>
  <si>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</si>
  <si>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</si>
  <si>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</si>
  <si>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</si>
  <si>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</si>
  <si>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</si>
  <si>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</si>
  <si>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</si>
  <si>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</si>
  <si>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</si>
  <si>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</si>
  <si>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</si>
  <si>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</si>
  <si>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</si>
  <si>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</si>
  <si>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</si>
  <si>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</si>
  <si>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</si>
  <si>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</si>
  <si>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</si>
  <si>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</si>
  <si>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</si>
  <si>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</si>
  <si>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</si>
  <si>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</si>
  <si>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</si>
  <si>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</si>
  <si>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</si>
  <si>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</si>
  <si>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</si>
  <si>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</si>
  <si>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</si>
  <si>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</si>
  <si>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</si>
  <si>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</si>
  <si>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</si>
  <si>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</si>
  <si>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</si>
  <si>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</si>
  <si>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</si>
  <si>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</si>
  <si>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</si>
  <si>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</si>
  <si>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</si>
  <si>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</si>
  <si>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</si>
  <si>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</si>
  <si>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</si>
  <si>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</si>
  <si>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</si>
  <si>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</si>
  <si>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</si>
  <si>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</si>
  <si>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</si>
  <si>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</si>
  <si>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</si>
  <si>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</si>
  <si>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</si>
  <si>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</si>
  <si>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</si>
  <si>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</si>
  <si>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</si>
  <si>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</si>
  <si>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</si>
  <si>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</si>
  <si>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</si>
  <si>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</si>
  <si>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</si>
  <si>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</si>
  <si>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</si>
  <si>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</si>
  <si>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</si>
  <si>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</si>
  <si>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</si>
  <si>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</si>
  <si>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</si>
  <si>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</si>
  <si>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</si>
  <si>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</si>
  <si>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</si>
  <si>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</si>
  <si>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</si>
  <si>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</si>
  <si>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</si>
  <si>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</si>
  <si>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</si>
  <si>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</si>
  <si>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</si>
  <si>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</si>
  <si>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</si>
  <si>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</si>
  <si>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</si>
  <si>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</si>
  <si>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</si>
  <si>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</si>
  <si>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</si>
  <si>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</si>
  <si>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</si>
  <si>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</si>
  <si>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</si>
  <si>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</si>
  <si>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</si>
  <si>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</si>
  <si>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</si>
  <si>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</si>
  <si>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</si>
  <si>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</si>
  <si>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</si>
  <si>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</si>
  <si>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</si>
  <si>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</si>
  <si>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</si>
  <si>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</si>
  <si>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</si>
  <si>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</si>
  <si>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</si>
  <si>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</si>
  <si>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</si>
  <si>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</si>
  <si>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</si>
  <si>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</si>
  <si>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</si>
  <si>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</si>
  <si>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</si>
  <si>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</si>
  <si>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</si>
  <si>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</si>
  <si>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</si>
  <si>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</si>
  <si>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</si>
  <si>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</si>
  <si>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</si>
  <si>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</si>
  <si>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</si>
  <si>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</si>
  <si>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</si>
  <si>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</si>
  <si>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</si>
  <si>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</si>
  <si>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</si>
  <si>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</si>
  <si>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</si>
  <si>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</si>
  <si>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</si>
  <si>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</si>
  <si>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</si>
  <si>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</si>
  <si>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</si>
  <si>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</si>
  <si>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</si>
  <si>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</si>
  <si>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</si>
  <si>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</si>
  <si>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</si>
  <si>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</si>
  <si>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</si>
  <si>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</si>
  <si>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</si>
  <si>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</si>
  <si>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</si>
  <si>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</si>
  <si>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</si>
  <si>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</si>
  <si>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</si>
  <si>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</si>
  <si>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</si>
  <si>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</si>
  <si>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</si>
  <si>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</si>
  <si>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</si>
  <si>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</si>
  <si>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</si>
  <si>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</si>
  <si>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</si>
  <si>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</si>
  <si>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</si>
  <si>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</si>
  <si>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</si>
  <si>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</si>
  <si>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</si>
  <si>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</si>
  <si>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</si>
  <si>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</si>
  <si>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</si>
  <si>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</si>
  <si>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</si>
  <si>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</si>
  <si>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</si>
  <si>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</si>
  <si>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</si>
  <si>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</si>
  <si>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</si>
  <si>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</si>
  <si>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</si>
  <si>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</si>
  <si>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</si>
  <si>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</si>
  <si>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</si>
  <si>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</si>
  <si>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</si>
  <si>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</si>
  <si>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</si>
  <si>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</si>
  <si>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</si>
  <si>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</si>
  <si>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</si>
  <si>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</si>
  <si>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</si>
  <si>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</si>
  <si>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</si>
  <si>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</si>
  <si>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</si>
  <si>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</si>
  <si>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</si>
  <si>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</si>
  <si>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</si>
  <si>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</si>
  <si>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</si>
  <si>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</si>
  <si>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</si>
  <si>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</si>
  <si>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</si>
  <si>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</si>
  <si>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</si>
  <si>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</si>
  <si>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</si>
  <si>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</si>
  <si>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</si>
  <si>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</si>
  <si>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</si>
  <si>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</si>
  <si>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</si>
  <si>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</si>
  <si>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</si>
  <si>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</si>
  <si>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</si>
  <si>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</si>
  <si>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</si>
  <si>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</si>
  <si>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</si>
  <si>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</si>
  <si>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</si>
  <si>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</si>
  <si>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</si>
  <si>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</si>
  <si>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</si>
  <si>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</si>
  <si>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</si>
  <si>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</si>
  <si>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</si>
  <si>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</si>
  <si>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</si>
  <si>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</si>
  <si>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</si>
  <si>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</si>
  <si>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</si>
  <si>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</si>
  <si>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</si>
  <si>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</si>
  <si>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</si>
  <si>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</si>
  <si>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</si>
  <si>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</si>
  <si>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</si>
  <si>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</si>
  <si>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</si>
  <si>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</si>
  <si>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</si>
  <si>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</si>
  <si>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</si>
  <si>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</si>
  <si>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</si>
  <si>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</si>
  <si>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</si>
  <si>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</si>
  <si>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</si>
  <si>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</si>
  <si>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</si>
  <si>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</si>
  <si>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</si>
  <si>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</si>
  <si>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</si>
  <si>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</si>
  <si>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</si>
  <si>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</si>
  <si>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</si>
  <si>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</si>
  <si>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</si>
  <si>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</si>
  <si>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</si>
  <si>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</si>
  <si>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</si>
  <si>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</si>
  <si>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</si>
  <si>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</si>
  <si>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</si>
  <si>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</si>
  <si>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</si>
  <si>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</si>
  <si>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</si>
  <si>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</si>
  <si>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</si>
  <si>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</si>
  <si>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</si>
  <si>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</si>
  <si>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</si>
  <si>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</si>
  <si>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</si>
  <si>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</si>
  <si>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</si>
  <si>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</si>
  <si>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</si>
  <si>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</si>
  <si>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</si>
  <si>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</si>
  <si>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</si>
  <si>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</si>
  <si>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</si>
  <si>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</si>
  <si>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</si>
  <si>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</si>
  <si>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</si>
  <si>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</si>
  <si>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</si>
  <si>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</si>
  <si>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</si>
  <si>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</si>
  <si>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</si>
  <si>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</si>
  <si>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</si>
  <si>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</si>
  <si>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</si>
  <si>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</si>
  <si>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</si>
  <si>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</si>
  <si>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</si>
  <si>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</si>
  <si>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</si>
  <si>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</si>
  <si>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</si>
  <si>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</si>
  <si>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</si>
  <si>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</si>
  <si>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</si>
  <si>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</si>
  <si>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</si>
  <si>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</si>
  <si>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</si>
  <si>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</si>
  <si>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</si>
  <si>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</si>
  <si>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</si>
  <si>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</si>
  <si>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</si>
  <si>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</si>
  <si>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</si>
  <si>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</si>
  <si>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</si>
  <si>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</si>
  <si>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</si>
  <si>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</si>
  <si>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</si>
  <si>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</si>
  <si>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</si>
  <si>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</si>
  <si>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</si>
  <si>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</si>
  <si>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</si>
  <si>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</si>
  <si>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</si>
  <si>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</si>
  <si>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</si>
  <si>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</si>
  <si>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</si>
  <si>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</si>
  <si>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</si>
  <si>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</si>
  <si>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</si>
  <si>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</si>
  <si>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</si>
  <si>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</si>
  <si>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</si>
  <si>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</si>
  <si>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</si>
  <si>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</si>
  <si>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</si>
  <si>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</si>
  <si>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</si>
  <si>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</si>
  <si>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</si>
  <si>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</si>
  <si>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</si>
  <si>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</si>
  <si>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</si>
  <si>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</si>
  <si>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</si>
  <si>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</si>
  <si>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</si>
  <si>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</si>
  <si>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</si>
  <si>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</si>
  <si>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</si>
  <si>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</si>
  <si>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</si>
  <si>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</si>
  <si>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</si>
  <si>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</si>
  <si>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</si>
  <si>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</si>
  <si>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</si>
  <si>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</si>
  <si>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</si>
  <si>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</si>
  <si>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</si>
  <si>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</si>
  <si>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</si>
  <si>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</si>
  <si>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</si>
  <si>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</si>
  <si>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</si>
  <si>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</si>
  <si>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</si>
  <si>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</si>
  <si>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</si>
  <si>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</si>
  <si>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</si>
  <si>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</si>
  <si>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</si>
  <si>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</si>
  <si>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</si>
  <si>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</si>
  <si>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</si>
  <si>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</si>
  <si>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</si>
  <si>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</si>
  <si>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</si>
  <si>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</si>
  <si>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</si>
  <si>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</si>
  <si>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</si>
  <si>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</si>
  <si>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</si>
  <si>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</si>
  <si>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</si>
  <si>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</si>
  <si>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</si>
  <si>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</si>
  <si>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</si>
  <si>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</si>
  <si>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</si>
  <si>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</si>
  <si>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</si>
  <si>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</si>
  <si>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</si>
  <si>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</si>
  <si>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</si>
  <si>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</si>
  <si>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</si>
  <si>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</si>
  <si>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</si>
  <si>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</si>
  <si>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</si>
  <si>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</si>
  <si>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</si>
  <si>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</si>
  <si>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</si>
  <si>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</si>
  <si>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</si>
  <si>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</si>
  <si>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</si>
  <si>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</si>
  <si>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</si>
  <si>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</si>
  <si>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.</t>
  </si>
  <si>
    <t>Sunapee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</si>
</sst>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515</v>
      </c>
      <c r="C2" s="21">
        <v>515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1142569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42591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3501</v>
      </c>
      <c r="H13" s="18">
        <v>23539</v>
      </c>
      <c r="I13" s="18"/>
      <c r="J13" s="67">
        <f>SUM(I442)</f>
        <v>891047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1142569</v>
      </c>
      <c r="G19" s="41">
        <f>SUM(G9:G18)</f>
        <v>46092</v>
      </c>
      <c r="H19" s="41">
        <f>SUM(H9:H18)</f>
        <v>23539</v>
      </c>
      <c r="I19" s="41">
        <f>SUM(I9:I18)</f>
        <v>0</v>
      </c>
      <c r="J19" s="41">
        <f>SUM(J9:J18)</f>
        <v>891047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19052</v>
      </c>
      <c r="G22" s="18"/>
      <c r="H22" s="18">
        <v>23539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9903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 t="s">
        <v>912</v>
      </c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28955</v>
      </c>
      <c r="G32" s="41">
        <f>SUM(G22:G31)</f>
        <v>0</v>
      </c>
      <c r="H32" s="41">
        <f>SUM(H22:H31)</f>
        <v>23539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367082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250000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891047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>
        <v>46092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446532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1113614</v>
      </c>
      <c r="G51" s="41">
        <f>SUM(G35:G50)</f>
        <v>46092</v>
      </c>
      <c r="H51" s="41">
        <f>SUM(H35:H50)</f>
        <v>0</v>
      </c>
      <c r="I51" s="41">
        <f>SUM(I35:I50)</f>
        <v>0</v>
      </c>
      <c r="J51" s="41">
        <f>SUM(J35:J50)</f>
        <v>891047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1142569</v>
      </c>
      <c r="G52" s="41">
        <f>G51+G32</f>
        <v>46092</v>
      </c>
      <c r="H52" s="41">
        <f>H51+H32</f>
        <v>23539</v>
      </c>
      <c r="I52" s="41">
        <f>I51+I32</f>
        <v>0</v>
      </c>
      <c r="J52" s="41">
        <f>J51+J32</f>
        <v>891047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7776407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7776407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14370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257550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38492</v>
      </c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310412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5235</v>
      </c>
      <c r="G96" s="18"/>
      <c r="H96" s="18"/>
      <c r="I96" s="18"/>
      <c r="J96" s="18">
        <v>1852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87620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9046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14281</v>
      </c>
      <c r="G111" s="41">
        <f>SUM(G96:G110)</f>
        <v>87620</v>
      </c>
      <c r="H111" s="41">
        <f>SUM(H96:H110)</f>
        <v>0</v>
      </c>
      <c r="I111" s="41">
        <f>SUM(I96:I110)</f>
        <v>0</v>
      </c>
      <c r="J111" s="41">
        <f>SUM(J96:J110)</f>
        <v>1852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8101100</v>
      </c>
      <c r="G112" s="41">
        <f>G60+G111</f>
        <v>87620</v>
      </c>
      <c r="H112" s="41">
        <f>H60+H79+H94+H111</f>
        <v>0</v>
      </c>
      <c r="I112" s="41">
        <f>I60+I111</f>
        <v>0</v>
      </c>
      <c r="J112" s="41">
        <f>J60+J111</f>
        <v>1852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16818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2947522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2964340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136387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1717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1755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138104</v>
      </c>
      <c r="G136" s="41">
        <f>SUM(G123:G135)</f>
        <v>1755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3102444</v>
      </c>
      <c r="G140" s="41">
        <f>G121+SUM(G136:G137)</f>
        <v>1755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49315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12500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32161+9033</f>
        <v>41194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58644+76</f>
        <v>58720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77770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1500</v>
      </c>
      <c r="H161" s="18">
        <f>21768+2200</f>
        <v>23968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77770</v>
      </c>
      <c r="G162" s="41">
        <f>SUM(G150:G161)</f>
        <v>42694</v>
      </c>
      <c r="H162" s="41">
        <f>SUM(H150:H161)</f>
        <v>144503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77770</v>
      </c>
      <c r="G169" s="41">
        <f>G147+G162+SUM(G163:G168)</f>
        <v>42694</v>
      </c>
      <c r="H169" s="41">
        <f>H147+H162+SUM(H163:H168)</f>
        <v>144503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20581</v>
      </c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20581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20581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11281314</v>
      </c>
      <c r="G193" s="47">
        <f>G112+G140+G169+G192</f>
        <v>152650</v>
      </c>
      <c r="H193" s="47">
        <f>H112+H140+H169+H192</f>
        <v>144503</v>
      </c>
      <c r="I193" s="47">
        <f>I112+I140+I169+I192</f>
        <v>0</v>
      </c>
      <c r="J193" s="47">
        <f>J112+J140+J192</f>
        <v>76852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1084016</v>
      </c>
      <c r="G197" s="18">
        <v>437692</v>
      </c>
      <c r="H197" s="18">
        <f>5207+394+197</f>
        <v>5798</v>
      </c>
      <c r="I197" s="18">
        <v>32400</v>
      </c>
      <c r="J197" s="18">
        <v>7987</v>
      </c>
      <c r="K197" s="18"/>
      <c r="L197" s="19">
        <f>SUM(F197:K197)</f>
        <v>1567893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342389</v>
      </c>
      <c r="G198" s="18">
        <v>137709</v>
      </c>
      <c r="H198" s="18">
        <f>196774+7651</f>
        <v>204425</v>
      </c>
      <c r="I198" s="18">
        <v>2000</v>
      </c>
      <c r="J198" s="18">
        <v>1304</v>
      </c>
      <c r="K198" s="18">
        <v>485</v>
      </c>
      <c r="L198" s="19">
        <f>SUM(F198:K198)</f>
        <v>688312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14358</v>
      </c>
      <c r="G200" s="18">
        <v>25782</v>
      </c>
      <c r="H200" s="18">
        <v>7169</v>
      </c>
      <c r="I200" s="18">
        <v>1461</v>
      </c>
      <c r="J200" s="18"/>
      <c r="K200" s="18"/>
      <c r="L200" s="19">
        <f>SUM(F200:K200)</f>
        <v>48770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218638</v>
      </c>
      <c r="G202" s="18">
        <v>104367</v>
      </c>
      <c r="H202" s="18">
        <v>10524</v>
      </c>
      <c r="I202" s="18">
        <v>3420</v>
      </c>
      <c r="J202" s="18"/>
      <c r="K202" s="18"/>
      <c r="L202" s="19">
        <f t="shared" ref="L202:L208" si="0">SUM(F202:K202)</f>
        <v>336949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115497</v>
      </c>
      <c r="G203" s="18">
        <v>76441</v>
      </c>
      <c r="H203" s="18">
        <f>14621+4852+4501</f>
        <v>23974</v>
      </c>
      <c r="I203" s="18">
        <v>27505</v>
      </c>
      <c r="J203" s="18">
        <f>76433+61372</f>
        <v>137805</v>
      </c>
      <c r="K203" s="18"/>
      <c r="L203" s="19">
        <f t="shared" si="0"/>
        <v>381222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96072</v>
      </c>
      <c r="G204" s="18">
        <v>49254</v>
      </c>
      <c r="H204" s="18">
        <f>15771+2842</f>
        <v>18613</v>
      </c>
      <c r="I204" s="18">
        <v>10640</v>
      </c>
      <c r="J204" s="18">
        <v>340</v>
      </c>
      <c r="K204" s="18">
        <v>5090</v>
      </c>
      <c r="L204" s="19">
        <f t="shared" si="0"/>
        <v>180009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121997</v>
      </c>
      <c r="G205" s="18">
        <v>58043</v>
      </c>
      <c r="H205" s="18">
        <v>1313</v>
      </c>
      <c r="I205" s="18">
        <v>882</v>
      </c>
      <c r="J205" s="18"/>
      <c r="K205" s="18">
        <v>316</v>
      </c>
      <c r="L205" s="19">
        <f t="shared" si="0"/>
        <v>182551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143634</v>
      </c>
      <c r="G207" s="18">
        <v>47242</v>
      </c>
      <c r="H207" s="18">
        <f>94614+13467</f>
        <v>108081</v>
      </c>
      <c r="I207" s="18">
        <v>62228</v>
      </c>
      <c r="J207" s="18"/>
      <c r="K207" s="18"/>
      <c r="L207" s="19">
        <f t="shared" si="0"/>
        <v>361185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82155</v>
      </c>
      <c r="G208" s="18">
        <v>43858</v>
      </c>
      <c r="H208" s="18">
        <v>7846</v>
      </c>
      <c r="I208" s="18">
        <v>11355</v>
      </c>
      <c r="J208" s="18">
        <v>30036</v>
      </c>
      <c r="K208" s="18">
        <v>205</v>
      </c>
      <c r="L208" s="19">
        <f t="shared" si="0"/>
        <v>175455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2218756</v>
      </c>
      <c r="G211" s="41">
        <f t="shared" si="1"/>
        <v>980388</v>
      </c>
      <c r="H211" s="41">
        <f t="shared" si="1"/>
        <v>387743</v>
      </c>
      <c r="I211" s="41">
        <f t="shared" si="1"/>
        <v>151891</v>
      </c>
      <c r="J211" s="41">
        <f t="shared" si="1"/>
        <v>177472</v>
      </c>
      <c r="K211" s="41">
        <f t="shared" si="1"/>
        <v>6096</v>
      </c>
      <c r="L211" s="41">
        <f t="shared" si="1"/>
        <v>3922346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616556</v>
      </c>
      <c r="G215" s="18">
        <v>437692</v>
      </c>
      <c r="H215" s="18">
        <f>2501+197</f>
        <v>2698</v>
      </c>
      <c r="I215" s="18">
        <f>36075+247</f>
        <v>36322</v>
      </c>
      <c r="J215" s="18">
        <f>11243+2665</f>
        <v>13908</v>
      </c>
      <c r="K215" s="18"/>
      <c r="L215" s="19">
        <f>SUM(F215:K215)</f>
        <v>1107176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200011</v>
      </c>
      <c r="G216" s="18">
        <v>137709</v>
      </c>
      <c r="H216" s="18">
        <f>196618+7651+215+1292</f>
        <v>205776</v>
      </c>
      <c r="I216" s="18">
        <v>904</v>
      </c>
      <c r="J216" s="18">
        <v>104</v>
      </c>
      <c r="K216" s="18">
        <v>485</v>
      </c>
      <c r="L216" s="19">
        <f>SUM(F216:K216)</f>
        <v>544989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2617</v>
      </c>
      <c r="I217" s="18">
        <v>0</v>
      </c>
      <c r="J217" s="18"/>
      <c r="K217" s="18"/>
      <c r="L217" s="19">
        <f>SUM(F217:K217)</f>
        <v>2617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55736</v>
      </c>
      <c r="G218" s="18">
        <v>25782</v>
      </c>
      <c r="H218" s="18">
        <v>11048</v>
      </c>
      <c r="I218" s="18">
        <v>21155</v>
      </c>
      <c r="J218" s="18"/>
      <c r="K218" s="18">
        <v>2482</v>
      </c>
      <c r="L218" s="19">
        <f>SUM(F218:K218)</f>
        <v>116203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177472</v>
      </c>
      <c r="G220" s="18">
        <v>104367</v>
      </c>
      <c r="H220" s="18">
        <v>12754</v>
      </c>
      <c r="I220" s="18">
        <v>4785</v>
      </c>
      <c r="J220" s="18"/>
      <c r="K220" s="18"/>
      <c r="L220" s="19">
        <f t="shared" ref="L220:L226" si="2">SUM(F220:K220)</f>
        <v>299378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107331</v>
      </c>
      <c r="G221" s="18">
        <v>65798</v>
      </c>
      <c r="H221" s="18">
        <v>20646</v>
      </c>
      <c r="I221" s="18">
        <v>26826</v>
      </c>
      <c r="J221" s="18">
        <f>24552+8221</f>
        <v>32773</v>
      </c>
      <c r="K221" s="18"/>
      <c r="L221" s="19">
        <f t="shared" si="2"/>
        <v>253374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96072</v>
      </c>
      <c r="G222" s="18">
        <v>49254</v>
      </c>
      <c r="H222" s="18">
        <f>15771+2842</f>
        <v>18613</v>
      </c>
      <c r="I222" s="18">
        <v>10640</v>
      </c>
      <c r="J222" s="18">
        <v>340</v>
      </c>
      <c r="K222" s="18">
        <v>5090</v>
      </c>
      <c r="L222" s="19">
        <f t="shared" si="2"/>
        <v>180009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89610</v>
      </c>
      <c r="G223" s="18">
        <v>58043</v>
      </c>
      <c r="H223" s="18">
        <v>3091</v>
      </c>
      <c r="I223" s="18">
        <v>5043</v>
      </c>
      <c r="J223" s="18"/>
      <c r="K223" s="18">
        <v>2419</v>
      </c>
      <c r="L223" s="19">
        <f t="shared" si="2"/>
        <v>158206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61290</v>
      </c>
      <c r="G225" s="18">
        <v>47242</v>
      </c>
      <c r="H225" s="18">
        <f>89347+7191+179+26796+3137+62912</f>
        <v>189562</v>
      </c>
      <c r="I225" s="18">
        <v>83814</v>
      </c>
      <c r="J225" s="18">
        <v>1819</v>
      </c>
      <c r="K225" s="18"/>
      <c r="L225" s="19">
        <f t="shared" si="2"/>
        <v>383727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85567</v>
      </c>
      <c r="G226" s="18">
        <v>43858</v>
      </c>
      <c r="H226" s="18">
        <v>12012</v>
      </c>
      <c r="I226" s="18">
        <v>11355</v>
      </c>
      <c r="J226" s="18">
        <v>30036</v>
      </c>
      <c r="K226" s="18">
        <v>205</v>
      </c>
      <c r="L226" s="19">
        <f t="shared" si="2"/>
        <v>183033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1489645</v>
      </c>
      <c r="G229" s="41">
        <f>SUM(G215:G228)</f>
        <v>969745</v>
      </c>
      <c r="H229" s="41">
        <f>SUM(H215:H228)</f>
        <v>478817</v>
      </c>
      <c r="I229" s="41">
        <f>SUM(I215:I228)</f>
        <v>200844</v>
      </c>
      <c r="J229" s="41">
        <f>SUM(J215:J228)</f>
        <v>78980</v>
      </c>
      <c r="K229" s="41">
        <f t="shared" si="3"/>
        <v>10681</v>
      </c>
      <c r="L229" s="41">
        <f t="shared" si="3"/>
        <v>3228712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921856</v>
      </c>
      <c r="G233" s="18">
        <v>450954</v>
      </c>
      <c r="H233" s="18">
        <f>3751+197</f>
        <v>3948</v>
      </c>
      <c r="I233" s="18">
        <f>54112+247</f>
        <v>54359</v>
      </c>
      <c r="J233" s="18">
        <f>16864+2665</f>
        <v>19529</v>
      </c>
      <c r="K233" s="18"/>
      <c r="L233" s="19">
        <f>SUM(F233:K233)</f>
        <v>1450646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278552</v>
      </c>
      <c r="G234" s="18">
        <v>141882</v>
      </c>
      <c r="H234" s="18">
        <f>196540+7651+31+987</f>
        <v>205209</v>
      </c>
      <c r="I234" s="18">
        <v>1356</v>
      </c>
      <c r="J234" s="18">
        <v>156</v>
      </c>
      <c r="K234" s="18">
        <v>486</v>
      </c>
      <c r="L234" s="19">
        <f>SUM(F234:K234)</f>
        <v>627641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3926</v>
      </c>
      <c r="I235" s="18">
        <v>0</v>
      </c>
      <c r="J235" s="18"/>
      <c r="K235" s="18"/>
      <c r="L235" s="19">
        <f>SUM(F235:K235)</f>
        <v>3926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83603</v>
      </c>
      <c r="G236" s="18">
        <v>26563</v>
      </c>
      <c r="H236" s="18">
        <v>16572</v>
      </c>
      <c r="I236" s="18">
        <v>31733</v>
      </c>
      <c r="J236" s="18"/>
      <c r="K236" s="18">
        <v>3723</v>
      </c>
      <c r="L236" s="19">
        <f>SUM(F236:K236)</f>
        <v>162194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226075</v>
      </c>
      <c r="G238" s="18">
        <v>107530</v>
      </c>
      <c r="H238" s="18">
        <v>13869</v>
      </c>
      <c r="I238" s="18">
        <v>6046</v>
      </c>
      <c r="J238" s="18"/>
      <c r="K238" s="18"/>
      <c r="L238" s="19">
        <f t="shared" ref="L238:L244" si="4">SUM(F238:K238)</f>
        <v>353520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141984</v>
      </c>
      <c r="G239" s="18">
        <v>68923</v>
      </c>
      <c r="H239" s="18">
        <v>23828</v>
      </c>
      <c r="I239" s="18">
        <v>32185</v>
      </c>
      <c r="J239" s="18">
        <f>36173+8221</f>
        <v>44394</v>
      </c>
      <c r="K239" s="18"/>
      <c r="L239" s="19">
        <f t="shared" si="4"/>
        <v>311314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96072</v>
      </c>
      <c r="G240" s="18">
        <v>50719</v>
      </c>
      <c r="H240" s="18">
        <f>15771+2842</f>
        <v>18613</v>
      </c>
      <c r="I240" s="18">
        <v>10640</v>
      </c>
      <c r="J240" s="18">
        <v>340</v>
      </c>
      <c r="K240" s="18">
        <v>5090</v>
      </c>
      <c r="L240" s="19">
        <f t="shared" si="4"/>
        <v>181474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134414</v>
      </c>
      <c r="G241" s="18">
        <v>59802</v>
      </c>
      <c r="H241" s="18">
        <f>4636+2704+281</f>
        <v>7621</v>
      </c>
      <c r="I241" s="18">
        <v>7564</v>
      </c>
      <c r="J241" s="18"/>
      <c r="K241" s="18">
        <v>3629</v>
      </c>
      <c r="L241" s="19">
        <f t="shared" si="4"/>
        <v>213030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76708</v>
      </c>
      <c r="G243" s="18">
        <v>48674</v>
      </c>
      <c r="H243" s="18">
        <f>115327+7191+18575+7072+62912</f>
        <v>211077</v>
      </c>
      <c r="I243" s="18">
        <f>121773+977</f>
        <v>122750</v>
      </c>
      <c r="J243" s="18">
        <f>2728+9087</f>
        <v>11815</v>
      </c>
      <c r="K243" s="18"/>
      <c r="L243" s="19">
        <f t="shared" si="4"/>
        <v>471024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89163</v>
      </c>
      <c r="G244" s="18">
        <v>45164</v>
      </c>
      <c r="H244" s="18">
        <v>14094</v>
      </c>
      <c r="I244" s="18">
        <v>11355</v>
      </c>
      <c r="J244" s="18">
        <f>30036+1062</f>
        <v>31098</v>
      </c>
      <c r="K244" s="18">
        <v>206</v>
      </c>
      <c r="L244" s="19">
        <f t="shared" si="4"/>
        <v>191080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2048427</v>
      </c>
      <c r="G247" s="41">
        <f t="shared" si="5"/>
        <v>1000211</v>
      </c>
      <c r="H247" s="41">
        <f t="shared" si="5"/>
        <v>518757</v>
      </c>
      <c r="I247" s="41">
        <f t="shared" si="5"/>
        <v>277988</v>
      </c>
      <c r="J247" s="41">
        <f t="shared" si="5"/>
        <v>107332</v>
      </c>
      <c r="K247" s="41">
        <f t="shared" si="5"/>
        <v>13134</v>
      </c>
      <c r="L247" s="41">
        <f t="shared" si="5"/>
        <v>3965849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5756828</v>
      </c>
      <c r="G257" s="41">
        <f t="shared" si="8"/>
        <v>2950344</v>
      </c>
      <c r="H257" s="41">
        <f t="shared" si="8"/>
        <v>1385317</v>
      </c>
      <c r="I257" s="41">
        <f t="shared" si="8"/>
        <v>630723</v>
      </c>
      <c r="J257" s="41">
        <f t="shared" si="8"/>
        <v>363784</v>
      </c>
      <c r="K257" s="41">
        <f t="shared" si="8"/>
        <v>29911</v>
      </c>
      <c r="L257" s="41">
        <f t="shared" si="8"/>
        <v>11116907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20581</v>
      </c>
      <c r="L263" s="19">
        <f>SUM(F263:K263)</f>
        <v>20581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95581</v>
      </c>
      <c r="L270" s="41">
        <f t="shared" si="9"/>
        <v>95581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5756828</v>
      </c>
      <c r="G271" s="42">
        <f t="shared" si="11"/>
        <v>2950344</v>
      </c>
      <c r="H271" s="42">
        <f t="shared" si="11"/>
        <v>1385317</v>
      </c>
      <c r="I271" s="42">
        <f t="shared" si="11"/>
        <v>630723</v>
      </c>
      <c r="J271" s="42">
        <f t="shared" si="11"/>
        <v>363784</v>
      </c>
      <c r="K271" s="42">
        <f t="shared" si="11"/>
        <v>125492</v>
      </c>
      <c r="L271" s="42">
        <f t="shared" si="11"/>
        <v>11212488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49315</v>
      </c>
      <c r="G276" s="18"/>
      <c r="H276" s="18">
        <v>13995</v>
      </c>
      <c r="I276" s="18"/>
      <c r="J276" s="18"/>
      <c r="K276" s="18"/>
      <c r="L276" s="19">
        <f>SUM(F276:K276)</f>
        <v>63310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2712</v>
      </c>
      <c r="G277" s="18"/>
      <c r="H277" s="18"/>
      <c r="I277" s="18">
        <v>2644</v>
      </c>
      <c r="J277" s="18">
        <v>590</v>
      </c>
      <c r="K277" s="18"/>
      <c r="L277" s="19">
        <f>SUM(F277:K277)</f>
        <v>5946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7989</v>
      </c>
      <c r="I282" s="18"/>
      <c r="J282" s="18"/>
      <c r="K282" s="18"/>
      <c r="L282" s="19">
        <f t="shared" si="12"/>
        <v>7989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>
        <v>76</v>
      </c>
      <c r="K287" s="18"/>
      <c r="L287" s="19">
        <f t="shared" si="12"/>
        <v>76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52027</v>
      </c>
      <c r="G290" s="42">
        <f t="shared" si="13"/>
        <v>0</v>
      </c>
      <c r="H290" s="42">
        <f t="shared" si="13"/>
        <v>21984</v>
      </c>
      <c r="I290" s="42">
        <f t="shared" si="13"/>
        <v>2644</v>
      </c>
      <c r="J290" s="42">
        <f t="shared" si="13"/>
        <v>666</v>
      </c>
      <c r="K290" s="42">
        <f t="shared" si="13"/>
        <v>0</v>
      </c>
      <c r="L290" s="41">
        <f t="shared" si="13"/>
        <v>77321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>
        <v>13995</v>
      </c>
      <c r="I295" s="18"/>
      <c r="J295" s="18"/>
      <c r="K295" s="18"/>
      <c r="L295" s="19">
        <f>SUM(F295:K295)</f>
        <v>13995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2712</v>
      </c>
      <c r="G296" s="18"/>
      <c r="H296" s="18"/>
      <c r="I296" s="18">
        <v>2644</v>
      </c>
      <c r="J296" s="18"/>
      <c r="K296" s="18"/>
      <c r="L296" s="19">
        <f>SUM(F296:K296)</f>
        <v>5356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v>7989</v>
      </c>
      <c r="I301" s="18"/>
      <c r="J301" s="18"/>
      <c r="K301" s="18"/>
      <c r="L301" s="19">
        <f t="shared" si="14"/>
        <v>7989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>
        <v>6250</v>
      </c>
      <c r="I303" s="18"/>
      <c r="J303" s="18"/>
      <c r="K303" s="18"/>
      <c r="L303" s="19">
        <f t="shared" si="14"/>
        <v>6250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2712</v>
      </c>
      <c r="G309" s="42">
        <f t="shared" si="15"/>
        <v>0</v>
      </c>
      <c r="H309" s="42">
        <f t="shared" si="15"/>
        <v>28234</v>
      </c>
      <c r="I309" s="42">
        <f t="shared" si="15"/>
        <v>2644</v>
      </c>
      <c r="J309" s="42">
        <f t="shared" si="15"/>
        <v>0</v>
      </c>
      <c r="K309" s="42">
        <f t="shared" si="15"/>
        <v>0</v>
      </c>
      <c r="L309" s="41">
        <f t="shared" si="15"/>
        <v>33590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v>13995</v>
      </c>
      <c r="I314" s="18"/>
      <c r="J314" s="18"/>
      <c r="K314" s="18"/>
      <c r="L314" s="19">
        <f>SUM(F314:K314)</f>
        <v>13995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2712</v>
      </c>
      <c r="G315" s="18"/>
      <c r="H315" s="18"/>
      <c r="I315" s="18">
        <v>2646</v>
      </c>
      <c r="J315" s="18"/>
      <c r="K315" s="18"/>
      <c r="L315" s="19">
        <f>SUM(F315:K315)</f>
        <v>5358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7989</v>
      </c>
      <c r="I320" s="18"/>
      <c r="J320" s="18"/>
      <c r="K320" s="18"/>
      <c r="L320" s="19">
        <f t="shared" si="16"/>
        <v>7989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>
        <v>6250</v>
      </c>
      <c r="I322" s="18"/>
      <c r="J322" s="18"/>
      <c r="K322" s="18"/>
      <c r="L322" s="19">
        <f t="shared" si="16"/>
        <v>6250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2712</v>
      </c>
      <c r="G328" s="42">
        <f t="shared" si="17"/>
        <v>0</v>
      </c>
      <c r="H328" s="42">
        <f t="shared" si="17"/>
        <v>28234</v>
      </c>
      <c r="I328" s="42">
        <f t="shared" si="17"/>
        <v>2646</v>
      </c>
      <c r="J328" s="42">
        <f t="shared" si="17"/>
        <v>0</v>
      </c>
      <c r="K328" s="42">
        <f t="shared" si="17"/>
        <v>0</v>
      </c>
      <c r="L328" s="41">
        <f t="shared" si="17"/>
        <v>33592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57451</v>
      </c>
      <c r="G338" s="41">
        <f t="shared" si="20"/>
        <v>0</v>
      </c>
      <c r="H338" s="41">
        <f t="shared" si="20"/>
        <v>78452</v>
      </c>
      <c r="I338" s="41">
        <f t="shared" si="20"/>
        <v>7934</v>
      </c>
      <c r="J338" s="41">
        <f t="shared" si="20"/>
        <v>666</v>
      </c>
      <c r="K338" s="41">
        <f t="shared" si="20"/>
        <v>0</v>
      </c>
      <c r="L338" s="41">
        <f t="shared" si="20"/>
        <v>144503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57451</v>
      </c>
      <c r="G352" s="41">
        <f>G338</f>
        <v>0</v>
      </c>
      <c r="H352" s="41">
        <f>H338</f>
        <v>78452</v>
      </c>
      <c r="I352" s="41">
        <f>I338</f>
        <v>7934</v>
      </c>
      <c r="J352" s="41">
        <f>J338</f>
        <v>666</v>
      </c>
      <c r="K352" s="47">
        <f>K338+K351</f>
        <v>0</v>
      </c>
      <c r="L352" s="41">
        <f>L338+L351</f>
        <v>144503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24809</v>
      </c>
      <c r="G358" s="18"/>
      <c r="H358" s="18">
        <v>1274</v>
      </c>
      <c r="I358" s="18">
        <v>21993</v>
      </c>
      <c r="J358" s="18"/>
      <c r="K358" s="18"/>
      <c r="L358" s="13">
        <f>SUM(F358:K358)</f>
        <v>48076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24809</v>
      </c>
      <c r="G359" s="18"/>
      <c r="H359" s="18">
        <v>1274</v>
      </c>
      <c r="I359" s="18">
        <v>21993</v>
      </c>
      <c r="J359" s="18"/>
      <c r="K359" s="18"/>
      <c r="L359" s="19">
        <f>SUM(F359:K359)</f>
        <v>48076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24809</v>
      </c>
      <c r="G360" s="18"/>
      <c r="H360" s="18">
        <v>1274</v>
      </c>
      <c r="I360" s="18">
        <v>21990</v>
      </c>
      <c r="J360" s="18">
        <v>1744</v>
      </c>
      <c r="K360" s="18">
        <v>2670</v>
      </c>
      <c r="L360" s="19">
        <f>SUM(F360:K360)</f>
        <v>52487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74427</v>
      </c>
      <c r="G362" s="47">
        <f t="shared" si="22"/>
        <v>0</v>
      </c>
      <c r="H362" s="47">
        <f t="shared" si="22"/>
        <v>3822</v>
      </c>
      <c r="I362" s="47">
        <f t="shared" si="22"/>
        <v>65976</v>
      </c>
      <c r="J362" s="47">
        <f t="shared" si="22"/>
        <v>1744</v>
      </c>
      <c r="K362" s="47">
        <f t="shared" si="22"/>
        <v>2670</v>
      </c>
      <c r="L362" s="47">
        <f t="shared" si="22"/>
        <v>148639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21827</v>
      </c>
      <c r="G367" s="18">
        <v>21827</v>
      </c>
      <c r="H367" s="18">
        <v>21827</v>
      </c>
      <c r="I367" s="56">
        <f>SUM(F367:H367)</f>
        <v>65481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165</v>
      </c>
      <c r="G368" s="63">
        <v>165</v>
      </c>
      <c r="H368" s="63">
        <v>165</v>
      </c>
      <c r="I368" s="56">
        <f>SUM(F368:H368)</f>
        <v>495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21992</v>
      </c>
      <c r="G369" s="47">
        <f>SUM(G367:G368)</f>
        <v>21992</v>
      </c>
      <c r="H369" s="47">
        <f>SUM(H367:H368)</f>
        <v>21992</v>
      </c>
      <c r="I369" s="47">
        <f>SUM(I367:I368)</f>
        <v>65976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25000</v>
      </c>
      <c r="H389" s="18">
        <v>327</v>
      </c>
      <c r="I389" s="18"/>
      <c r="J389" s="24" t="s">
        <v>288</v>
      </c>
      <c r="K389" s="24" t="s">
        <v>288</v>
      </c>
      <c r="L389" s="56">
        <f t="shared" si="25"/>
        <v>25327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327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25327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543</v>
      </c>
      <c r="I396" s="18"/>
      <c r="J396" s="24" t="s">
        <v>288</v>
      </c>
      <c r="K396" s="24" t="s">
        <v>288</v>
      </c>
      <c r="L396" s="56">
        <f t="shared" si="26"/>
        <v>25543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</v>
      </c>
      <c r="H397" s="18">
        <v>709</v>
      </c>
      <c r="I397" s="18"/>
      <c r="J397" s="24" t="s">
        <v>288</v>
      </c>
      <c r="K397" s="24" t="s">
        <v>288</v>
      </c>
      <c r="L397" s="56">
        <f t="shared" si="26"/>
        <v>25709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273</v>
      </c>
      <c r="I400" s="18"/>
      <c r="J400" s="24" t="s">
        <v>288</v>
      </c>
      <c r="K400" s="24" t="s">
        <v>288</v>
      </c>
      <c r="L400" s="56">
        <f t="shared" si="26"/>
        <v>273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1525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51525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1852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76852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2250</v>
      </c>
      <c r="I426" s="18"/>
      <c r="J426" s="18"/>
      <c r="K426" s="18"/>
      <c r="L426" s="56">
        <f t="shared" si="29"/>
        <v>2250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2250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2250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2250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2250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762888</v>
      </c>
      <c r="G442" s="18">
        <v>128159</v>
      </c>
      <c r="H442" s="18"/>
      <c r="I442" s="56">
        <f t="shared" si="33"/>
        <v>891047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762888</v>
      </c>
      <c r="G446" s="13">
        <f>SUM(G439:G445)</f>
        <v>128159</v>
      </c>
      <c r="H446" s="13">
        <f>SUM(H439:H445)</f>
        <v>0</v>
      </c>
      <c r="I446" s="13">
        <f>SUM(I439:I445)</f>
        <v>891047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762888</v>
      </c>
      <c r="G459" s="18">
        <v>128159</v>
      </c>
      <c r="H459" s="18"/>
      <c r="I459" s="56">
        <f t="shared" si="34"/>
        <v>891047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762888</v>
      </c>
      <c r="G460" s="83">
        <f>SUM(G454:G459)</f>
        <v>128159</v>
      </c>
      <c r="H460" s="83">
        <f>SUM(H454:H459)</f>
        <v>0</v>
      </c>
      <c r="I460" s="83">
        <f>SUM(I454:I459)</f>
        <v>891047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762888</v>
      </c>
      <c r="G461" s="42">
        <f>G452+G460</f>
        <v>128159</v>
      </c>
      <c r="H461" s="42">
        <f>H452+H460</f>
        <v>0</v>
      </c>
      <c r="I461" s="42">
        <f>I452+I460</f>
        <v>891047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1044788</v>
      </c>
      <c r="G465" s="18">
        <v>42081</v>
      </c>
      <c r="H465" s="18"/>
      <c r="I465" s="18"/>
      <c r="J465" s="18">
        <v>816445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11281314</v>
      </c>
      <c r="G468" s="18">
        <v>152650</v>
      </c>
      <c r="H468" s="18">
        <v>144503</v>
      </c>
      <c r="I468" s="18"/>
      <c r="J468" s="18">
        <v>76852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11281314</v>
      </c>
      <c r="G470" s="53">
        <f>SUM(G468:G469)</f>
        <v>152650</v>
      </c>
      <c r="H470" s="53">
        <f>SUM(H468:H469)</f>
        <v>144503</v>
      </c>
      <c r="I470" s="53">
        <f>SUM(I468:I469)</f>
        <v>0</v>
      </c>
      <c r="J470" s="53">
        <f>SUM(J468:J469)</f>
        <v>76852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11212488</v>
      </c>
      <c r="G472" s="18">
        <v>148639</v>
      </c>
      <c r="H472" s="18">
        <v>144503</v>
      </c>
      <c r="I472" s="18"/>
      <c r="J472" s="18">
        <v>2250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11212488</v>
      </c>
      <c r="G474" s="53">
        <f>SUM(G472:G473)</f>
        <v>148639</v>
      </c>
      <c r="H474" s="53">
        <f>SUM(H472:H473)</f>
        <v>144503</v>
      </c>
      <c r="I474" s="53">
        <f>SUM(I472:I473)</f>
        <v>0</v>
      </c>
      <c r="J474" s="53">
        <f>SUM(J472:J473)</f>
        <v>2250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1113614</v>
      </c>
      <c r="G476" s="53">
        <f>(G465+G470)- G474</f>
        <v>46092</v>
      </c>
      <c r="H476" s="53">
        <f>(H465+H470)- H474</f>
        <v>0</v>
      </c>
      <c r="I476" s="53">
        <f>(I465+I470)- I474</f>
        <v>0</v>
      </c>
      <c r="J476" s="53">
        <f>(J465+J470)- J474</f>
        <v>891047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342389+2712</f>
        <v>345101</v>
      </c>
      <c r="G521" s="18">
        <v>137709</v>
      </c>
      <c r="H521" s="18">
        <v>204425</v>
      </c>
      <c r="I521" s="18">
        <f>2000+2644</f>
        <v>4644</v>
      </c>
      <c r="J521" s="18">
        <f>1304+590</f>
        <v>1894</v>
      </c>
      <c r="K521" s="18">
        <v>485</v>
      </c>
      <c r="L521" s="88">
        <f>SUM(F521:K521)</f>
        <v>694258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200011+2712</f>
        <v>202723</v>
      </c>
      <c r="G522" s="18">
        <v>137709</v>
      </c>
      <c r="H522" s="18">
        <v>205776</v>
      </c>
      <c r="I522" s="18">
        <f>904+2644</f>
        <v>3548</v>
      </c>
      <c r="J522" s="18">
        <v>104</v>
      </c>
      <c r="K522" s="18">
        <v>485</v>
      </c>
      <c r="L522" s="88">
        <f>SUM(F522:K522)</f>
        <v>550345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278552+2712</f>
        <v>281264</v>
      </c>
      <c r="G523" s="18">
        <v>141882</v>
      </c>
      <c r="H523" s="18">
        <v>205209</v>
      </c>
      <c r="I523" s="18">
        <f>1356+2646</f>
        <v>4002</v>
      </c>
      <c r="J523" s="18">
        <v>156</v>
      </c>
      <c r="K523" s="18">
        <v>486</v>
      </c>
      <c r="L523" s="88">
        <f>SUM(F523:K523)</f>
        <v>632999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829088</v>
      </c>
      <c r="G524" s="108">
        <f t="shared" ref="G524:L524" si="36">SUM(G521:G523)</f>
        <v>417300</v>
      </c>
      <c r="H524" s="108">
        <f t="shared" si="36"/>
        <v>615410</v>
      </c>
      <c r="I524" s="108">
        <f t="shared" si="36"/>
        <v>12194</v>
      </c>
      <c r="J524" s="108">
        <f t="shared" si="36"/>
        <v>2154</v>
      </c>
      <c r="K524" s="108">
        <f t="shared" si="36"/>
        <v>1456</v>
      </c>
      <c r="L524" s="89">
        <f t="shared" si="36"/>
        <v>1877602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80266</v>
      </c>
      <c r="G526" s="18">
        <v>104367</v>
      </c>
      <c r="H526" s="18">
        <v>10524</v>
      </c>
      <c r="I526" s="18">
        <v>2263</v>
      </c>
      <c r="J526" s="18"/>
      <c r="K526" s="18"/>
      <c r="L526" s="88">
        <f>SUM(F526:K526)</f>
        <v>197420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80266</v>
      </c>
      <c r="G527" s="18">
        <v>104368</v>
      </c>
      <c r="H527" s="18">
        <v>10524</v>
      </c>
      <c r="I527" s="18">
        <v>2263</v>
      </c>
      <c r="J527" s="18"/>
      <c r="K527" s="18"/>
      <c r="L527" s="88">
        <f>SUM(F527:K527)</f>
        <v>197421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80266</v>
      </c>
      <c r="G528" s="18">
        <v>107530</v>
      </c>
      <c r="H528" s="18">
        <v>10524</v>
      </c>
      <c r="I528" s="18">
        <v>2263</v>
      </c>
      <c r="J528" s="18"/>
      <c r="K528" s="18"/>
      <c r="L528" s="88">
        <f>SUM(F528:K528)</f>
        <v>200583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240798</v>
      </c>
      <c r="G529" s="89">
        <f t="shared" ref="G529:L529" si="37">SUM(G526:G528)</f>
        <v>316265</v>
      </c>
      <c r="H529" s="89">
        <f t="shared" si="37"/>
        <v>31572</v>
      </c>
      <c r="I529" s="89">
        <f t="shared" si="37"/>
        <v>6789</v>
      </c>
      <c r="J529" s="89">
        <f t="shared" si="37"/>
        <v>0</v>
      </c>
      <c r="K529" s="89">
        <f t="shared" si="37"/>
        <v>0</v>
      </c>
      <c r="L529" s="89">
        <f t="shared" si="37"/>
        <v>595424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29838</v>
      </c>
      <c r="G531" s="18">
        <v>8391</v>
      </c>
      <c r="H531" s="18"/>
      <c r="I531" s="18"/>
      <c r="J531" s="18"/>
      <c r="K531" s="18"/>
      <c r="L531" s="88">
        <f>SUM(F531:K531)</f>
        <v>38229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29838</v>
      </c>
      <c r="G532" s="18">
        <v>8392</v>
      </c>
      <c r="H532" s="18"/>
      <c r="I532" s="18"/>
      <c r="J532" s="18"/>
      <c r="K532" s="18"/>
      <c r="L532" s="88">
        <f>SUM(F532:K532)</f>
        <v>38230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29838</v>
      </c>
      <c r="G533" s="18">
        <v>8392</v>
      </c>
      <c r="H533" s="18"/>
      <c r="I533" s="18"/>
      <c r="J533" s="18"/>
      <c r="K533" s="18"/>
      <c r="L533" s="88">
        <f>SUM(F533:K533)</f>
        <v>38230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89514</v>
      </c>
      <c r="G534" s="89">
        <f t="shared" ref="G534:L534" si="38">SUM(G531:G533)</f>
        <v>25175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114689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1436</v>
      </c>
      <c r="I536" s="18"/>
      <c r="J536" s="18"/>
      <c r="K536" s="18"/>
      <c r="L536" s="88">
        <f>SUM(F536:K536)</f>
        <v>1436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1436</v>
      </c>
      <c r="I537" s="18"/>
      <c r="J537" s="18"/>
      <c r="K537" s="18"/>
      <c r="L537" s="88">
        <f>SUM(F537:K537)</f>
        <v>1436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1436</v>
      </c>
      <c r="I538" s="18"/>
      <c r="J538" s="18"/>
      <c r="K538" s="18"/>
      <c r="L538" s="88">
        <f>SUM(F538:K538)</f>
        <v>1436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4308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4308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23249</v>
      </c>
      <c r="G541" s="18">
        <v>10782</v>
      </c>
      <c r="H541" s="18"/>
      <c r="I541" s="18"/>
      <c r="J541" s="18"/>
      <c r="K541" s="18"/>
      <c r="L541" s="88">
        <f>SUM(F541:K541)</f>
        <v>34031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23249</v>
      </c>
      <c r="G542" s="18">
        <v>10782</v>
      </c>
      <c r="H542" s="18"/>
      <c r="I542" s="18"/>
      <c r="J542" s="18"/>
      <c r="K542" s="18"/>
      <c r="L542" s="88">
        <f>SUM(F542:K542)</f>
        <v>34031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23248</v>
      </c>
      <c r="G543" s="18">
        <v>10781</v>
      </c>
      <c r="H543" s="18"/>
      <c r="I543" s="18"/>
      <c r="J543" s="18"/>
      <c r="K543" s="18"/>
      <c r="L543" s="88">
        <f>SUM(F543:K543)</f>
        <v>34029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69746</v>
      </c>
      <c r="G544" s="193">
        <f t="shared" ref="G544:L544" si="40">SUM(G541:G543)</f>
        <v>32345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102091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1229146</v>
      </c>
      <c r="G545" s="89">
        <f t="shared" ref="G545:L545" si="41">G524+G529+G534+G539+G544</f>
        <v>791085</v>
      </c>
      <c r="H545" s="89">
        <f t="shared" si="41"/>
        <v>651290</v>
      </c>
      <c r="I545" s="89">
        <f t="shared" si="41"/>
        <v>18983</v>
      </c>
      <c r="J545" s="89">
        <f t="shared" si="41"/>
        <v>2154</v>
      </c>
      <c r="K545" s="89">
        <f t="shared" si="41"/>
        <v>1456</v>
      </c>
      <c r="L545" s="89">
        <f t="shared" si="41"/>
        <v>2694114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694258</v>
      </c>
      <c r="G549" s="87">
        <f>L526</f>
        <v>197420</v>
      </c>
      <c r="H549" s="87">
        <f>L531</f>
        <v>38229</v>
      </c>
      <c r="I549" s="87">
        <f>L536</f>
        <v>1436</v>
      </c>
      <c r="J549" s="87">
        <f>L541</f>
        <v>34031</v>
      </c>
      <c r="K549" s="87">
        <f>SUM(F549:J549)</f>
        <v>965374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550345</v>
      </c>
      <c r="G550" s="87">
        <f>L527</f>
        <v>197421</v>
      </c>
      <c r="H550" s="87">
        <f>L532</f>
        <v>38230</v>
      </c>
      <c r="I550" s="87">
        <f>L537</f>
        <v>1436</v>
      </c>
      <c r="J550" s="87">
        <f>L542</f>
        <v>34031</v>
      </c>
      <c r="K550" s="87">
        <f>SUM(F550:J550)</f>
        <v>821463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632999</v>
      </c>
      <c r="G551" s="87">
        <f>L528</f>
        <v>200583</v>
      </c>
      <c r="H551" s="87">
        <f>L533</f>
        <v>38230</v>
      </c>
      <c r="I551" s="87">
        <f>L538</f>
        <v>1436</v>
      </c>
      <c r="J551" s="87">
        <f>L543</f>
        <v>34029</v>
      </c>
      <c r="K551" s="87">
        <f>SUM(F551:J551)</f>
        <v>907277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1877602</v>
      </c>
      <c r="G552" s="89">
        <f t="shared" si="42"/>
        <v>595424</v>
      </c>
      <c r="H552" s="89">
        <f t="shared" si="42"/>
        <v>114689</v>
      </c>
      <c r="I552" s="89">
        <f t="shared" si="42"/>
        <v>4308</v>
      </c>
      <c r="J552" s="89">
        <f t="shared" si="42"/>
        <v>102091</v>
      </c>
      <c r="K552" s="89">
        <f t="shared" si="42"/>
        <v>2694114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204425</v>
      </c>
      <c r="G582" s="18">
        <v>205776</v>
      </c>
      <c r="H582" s="18">
        <v>205209</v>
      </c>
      <c r="I582" s="87">
        <f t="shared" si="47"/>
        <v>615410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>
        <v>2617</v>
      </c>
      <c r="H584" s="18">
        <v>3926</v>
      </c>
      <c r="I584" s="87">
        <f t="shared" si="47"/>
        <v>6543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137643</v>
      </c>
      <c r="I591" s="18">
        <v>144478</v>
      </c>
      <c r="J591" s="18">
        <v>121758</v>
      </c>
      <c r="K591" s="104">
        <f t="shared" ref="K591:K597" si="48">SUM(H591:J591)</f>
        <v>403879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34031</v>
      </c>
      <c r="I592" s="18">
        <v>34031</v>
      </c>
      <c r="J592" s="18">
        <v>34030</v>
      </c>
      <c r="K592" s="104">
        <f t="shared" si="48"/>
        <v>102092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13457</v>
      </c>
      <c r="K593" s="104">
        <f t="shared" si="48"/>
        <v>13457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21835</v>
      </c>
      <c r="K594" s="104">
        <f t="shared" si="48"/>
        <v>21835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3781</v>
      </c>
      <c r="I595" s="18">
        <v>4524</v>
      </c>
      <c r="J595" s="18"/>
      <c r="K595" s="104">
        <f t="shared" si="48"/>
        <v>8305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175455</v>
      </c>
      <c r="I598" s="108">
        <f>SUM(I591:I597)</f>
        <v>183033</v>
      </c>
      <c r="J598" s="108">
        <f>SUM(J591:J597)</f>
        <v>191080</v>
      </c>
      <c r="K598" s="108">
        <f>SUM(K591:K597)</f>
        <v>549568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177472+666</f>
        <v>178138</v>
      </c>
      <c r="I604" s="18">
        <v>78980</v>
      </c>
      <c r="J604" s="18">
        <v>107332</v>
      </c>
      <c r="K604" s="104">
        <f>SUM(H604:J604)</f>
        <v>364450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178138</v>
      </c>
      <c r="I605" s="108">
        <f>SUM(I602:I604)</f>
        <v>78980</v>
      </c>
      <c r="J605" s="108">
        <f>SUM(J602:J604)</f>
        <v>107332</v>
      </c>
      <c r="K605" s="108">
        <f>SUM(K602:K604)</f>
        <v>364450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6186</v>
      </c>
      <c r="G611" s="18"/>
      <c r="H611" s="18"/>
      <c r="I611" s="18"/>
      <c r="J611" s="18"/>
      <c r="K611" s="18"/>
      <c r="L611" s="88">
        <f>SUM(F611:K611)</f>
        <v>6186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12669</v>
      </c>
      <c r="G612" s="18"/>
      <c r="H612" s="18"/>
      <c r="I612" s="18"/>
      <c r="J612" s="18"/>
      <c r="K612" s="18"/>
      <c r="L612" s="88">
        <f>SUM(F612:K612)</f>
        <v>12669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12670</v>
      </c>
      <c r="G613" s="18"/>
      <c r="H613" s="18"/>
      <c r="I613" s="18"/>
      <c r="J613" s="18"/>
      <c r="K613" s="18"/>
      <c r="L613" s="88">
        <f>SUM(F613:K613)</f>
        <v>12670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31525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31525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1142569</v>
      </c>
      <c r="H617" s="109">
        <f>SUM(F52)</f>
        <v>1142569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46092</v>
      </c>
      <c r="H618" s="109">
        <f>SUM(G52)</f>
        <v>46092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23539</v>
      </c>
      <c r="H619" s="109">
        <f>SUM(H52)</f>
        <v>23539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891047</v>
      </c>
      <c r="H621" s="109">
        <f>SUM(J52)</f>
        <v>891047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1113614</v>
      </c>
      <c r="H622" s="109">
        <f>F476</f>
        <v>1113614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46092</v>
      </c>
      <c r="H623" s="109">
        <f>G476</f>
        <v>46092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891047</v>
      </c>
      <c r="H626" s="109">
        <f>J476</f>
        <v>891047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11281314</v>
      </c>
      <c r="H627" s="104">
        <f>SUM(F468)</f>
        <v>11281314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152650</v>
      </c>
      <c r="H628" s="104">
        <f>SUM(G468)</f>
        <v>152650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144503</v>
      </c>
      <c r="H629" s="104">
        <f>SUM(H468)</f>
        <v>144503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76852</v>
      </c>
      <c r="H631" s="104">
        <f>SUM(J468)</f>
        <v>76852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11212488</v>
      </c>
      <c r="H632" s="104">
        <f>SUM(F472)</f>
        <v>11212488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144503</v>
      </c>
      <c r="H633" s="104">
        <f>SUM(H472)</f>
        <v>144503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65976</v>
      </c>
      <c r="H634" s="104">
        <f>I369</f>
        <v>65976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148639</v>
      </c>
      <c r="H635" s="104">
        <f>SUM(G472)</f>
        <v>148639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76852</v>
      </c>
      <c r="H637" s="164">
        <f>SUM(J468)</f>
        <v>76852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2250</v>
      </c>
      <c r="H638" s="164">
        <f>SUM(J472)</f>
        <v>2250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762888</v>
      </c>
      <c r="H639" s="104">
        <f>SUM(F461)</f>
        <v>762888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128159</v>
      </c>
      <c r="H640" s="104">
        <f>SUM(G461)</f>
        <v>128159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891047</v>
      </c>
      <c r="H642" s="104">
        <f>SUM(I461)</f>
        <v>891047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1852</v>
      </c>
      <c r="H644" s="104">
        <f>H408</f>
        <v>1852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76852</v>
      </c>
      <c r="H646" s="104">
        <f>L408</f>
        <v>76852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549568</v>
      </c>
      <c r="H647" s="104">
        <f>L208+L226+L244</f>
        <v>549568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364450</v>
      </c>
      <c r="H648" s="104">
        <f>(J257+J338)-(J255+J336)</f>
        <v>364450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175455</v>
      </c>
      <c r="H649" s="104">
        <f>H598</f>
        <v>175455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183033</v>
      </c>
      <c r="H650" s="104">
        <f>I598</f>
        <v>183033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191080</v>
      </c>
      <c r="H651" s="104">
        <f>J598</f>
        <v>191080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20581</v>
      </c>
      <c r="H652" s="104">
        <f>K263+K345</f>
        <v>20581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4047743</v>
      </c>
      <c r="G660" s="19">
        <f>(L229+L309+L359)</f>
        <v>3310378</v>
      </c>
      <c r="H660" s="19">
        <f>(L247+L328+L360)</f>
        <v>4051928</v>
      </c>
      <c r="I660" s="19">
        <f>SUM(F660:H660)</f>
        <v>11410049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28339.931781026517</v>
      </c>
      <c r="G661" s="19">
        <f>(L359/IF(SUM(L358:L360)=0,1,SUM(L358:L360))*(SUM(G97:G110)))</f>
        <v>28339.931781026517</v>
      </c>
      <c r="H661" s="19">
        <f>(L360/IF(SUM(L358:L360)=0,1,SUM(L358:L360))*(SUM(G97:G110)))</f>
        <v>30940.136437946974</v>
      </c>
      <c r="I661" s="19">
        <f>SUM(F661:H661)</f>
        <v>87620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145419</v>
      </c>
      <c r="G662" s="19">
        <f>(L226+L306)-(J226+J306)</f>
        <v>152997</v>
      </c>
      <c r="H662" s="19">
        <f>(L244+L325)-(J244+J325)</f>
        <v>159982</v>
      </c>
      <c r="I662" s="19">
        <f>SUM(F662:H662)</f>
        <v>458398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388749</v>
      </c>
      <c r="G663" s="199">
        <f>SUM(G575:G587)+SUM(I602:I604)+L612</f>
        <v>300042</v>
      </c>
      <c r="H663" s="199">
        <f>SUM(H575:H587)+SUM(J602:J604)+L613</f>
        <v>329137</v>
      </c>
      <c r="I663" s="19">
        <f>SUM(F663:H663)</f>
        <v>1017928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3485235.0682189735</v>
      </c>
      <c r="G664" s="19">
        <f>G660-SUM(G661:G663)</f>
        <v>2828999.0682189735</v>
      </c>
      <c r="H664" s="19">
        <f>H660-SUM(H661:H663)</f>
        <v>3531868.8635620531</v>
      </c>
      <c r="I664" s="19">
        <f>I660-SUM(I661:I663)</f>
        <v>9846103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158.18</v>
      </c>
      <c r="G665" s="248">
        <v>114.97</v>
      </c>
      <c r="H665" s="248">
        <v>143.04</v>
      </c>
      <c r="I665" s="19">
        <f>SUM(F665:H665)</f>
        <v>416.18999999999994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22033.35</v>
      </c>
      <c r="G667" s="19">
        <f>ROUND(G664/G665,2)</f>
        <v>24606.41</v>
      </c>
      <c r="H667" s="19">
        <f>ROUND(H664/H665,2)</f>
        <v>24691.48</v>
      </c>
      <c r="I667" s="19">
        <f>ROUND(I664/I665,2)</f>
        <v>23657.71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-2.33</v>
      </c>
      <c r="I670" s="19">
        <f>SUM(F670:H670)</f>
        <v>-2.33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22033.35</v>
      </c>
      <c r="G672" s="19">
        <f>ROUND((G664+G669)/(G665+G670),2)</f>
        <v>24606.41</v>
      </c>
      <c r="H672" s="19">
        <f>ROUND((H664+H669)/(H665+H670),2)</f>
        <v>25100.34</v>
      </c>
      <c r="I672" s="19">
        <f>ROUND((I664+I669)/(I665+I670),2)</f>
        <v>23790.9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Sunapee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2671743</v>
      </c>
      <c r="C9" s="229">
        <f>'DOE25'!G197+'DOE25'!G215+'DOE25'!G233+'DOE25'!G276+'DOE25'!G295+'DOE25'!G314</f>
        <v>1326338</v>
      </c>
    </row>
    <row r="10" spans="1:3" x14ac:dyDescent="0.2">
      <c r="A10" t="s">
        <v>778</v>
      </c>
      <c r="B10" s="240">
        <v>2594047</v>
      </c>
      <c r="C10" s="240">
        <v>1256005</v>
      </c>
    </row>
    <row r="11" spans="1:3" x14ac:dyDescent="0.2">
      <c r="A11" t="s">
        <v>779</v>
      </c>
      <c r="B11" s="240">
        <v>28381</v>
      </c>
      <c r="C11" s="240">
        <v>66560</v>
      </c>
    </row>
    <row r="12" spans="1:3" x14ac:dyDescent="0.2">
      <c r="A12" t="s">
        <v>780</v>
      </c>
      <c r="B12" s="240">
        <v>49315</v>
      </c>
      <c r="C12" s="240">
        <v>3773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2671743</v>
      </c>
      <c r="C13" s="231">
        <f>SUM(C10:C12)</f>
        <v>1326338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829088</v>
      </c>
      <c r="C18" s="229">
        <f>'DOE25'!G198+'DOE25'!G216+'DOE25'!G234+'DOE25'!G277+'DOE25'!G296+'DOE25'!G315</f>
        <v>417300</v>
      </c>
    </row>
    <row r="19" spans="1:3" x14ac:dyDescent="0.2">
      <c r="A19" t="s">
        <v>778</v>
      </c>
      <c r="B19" s="240">
        <v>546331</v>
      </c>
      <c r="C19" s="240">
        <v>250380</v>
      </c>
    </row>
    <row r="20" spans="1:3" x14ac:dyDescent="0.2">
      <c r="A20" t="s">
        <v>779</v>
      </c>
      <c r="B20" s="240">
        <v>282757</v>
      </c>
      <c r="C20" s="240">
        <v>166920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829088</v>
      </c>
      <c r="C22" s="231">
        <f>SUM(C19:C21)</f>
        <v>417300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153697</v>
      </c>
      <c r="C36" s="235">
        <f>'DOE25'!G200+'DOE25'!G218+'DOE25'!G236+'DOE25'!G279+'DOE25'!G298+'DOE25'!G317</f>
        <v>78127</v>
      </c>
    </row>
    <row r="37" spans="1:3" x14ac:dyDescent="0.2">
      <c r="A37" t="s">
        <v>778</v>
      </c>
      <c r="B37" s="240">
        <v>153697</v>
      </c>
      <c r="C37" s="240">
        <v>78127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153697</v>
      </c>
      <c r="C40" s="231">
        <f>SUM(C37:C39)</f>
        <v>78127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Sunapee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6320367</v>
      </c>
      <c r="D5" s="20">
        <f>SUM('DOE25'!L197:L200)+SUM('DOE25'!L215:L218)+SUM('DOE25'!L233:L236)-F5-G5</f>
        <v>6269718</v>
      </c>
      <c r="E5" s="243"/>
      <c r="F5" s="255">
        <f>SUM('DOE25'!J197:J200)+SUM('DOE25'!J215:J218)+SUM('DOE25'!J233:J236)</f>
        <v>42988</v>
      </c>
      <c r="G5" s="53">
        <f>SUM('DOE25'!K197:K200)+SUM('DOE25'!K215:K218)+SUM('DOE25'!K233:K236)</f>
        <v>7661</v>
      </c>
      <c r="H5" s="259"/>
    </row>
    <row r="6" spans="1:9" x14ac:dyDescent="0.2">
      <c r="A6" s="32">
        <v>2100</v>
      </c>
      <c r="B6" t="s">
        <v>800</v>
      </c>
      <c r="C6" s="245">
        <f t="shared" si="0"/>
        <v>989847</v>
      </c>
      <c r="D6" s="20">
        <f>'DOE25'!L202+'DOE25'!L220+'DOE25'!L238-F6-G6</f>
        <v>989847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945910</v>
      </c>
      <c r="D7" s="20">
        <f>'DOE25'!L203+'DOE25'!L221+'DOE25'!L239-F7-G7</f>
        <v>730938</v>
      </c>
      <c r="E7" s="243"/>
      <c r="F7" s="255">
        <f>'DOE25'!J203+'DOE25'!J221+'DOE25'!J239</f>
        <v>214972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301138</v>
      </c>
      <c r="D8" s="243"/>
      <c r="E8" s="20">
        <f>'DOE25'!L204+'DOE25'!L222+'DOE25'!L240-F8-G8-D9-D11</f>
        <v>284848</v>
      </c>
      <c r="F8" s="255">
        <f>'DOE25'!J204+'DOE25'!J222+'DOE25'!J240</f>
        <v>1020</v>
      </c>
      <c r="G8" s="53">
        <f>'DOE25'!K204+'DOE25'!K222+'DOE25'!K240</f>
        <v>15270</v>
      </c>
      <c r="H8" s="259"/>
    </row>
    <row r="9" spans="1:9" x14ac:dyDescent="0.2">
      <c r="A9" s="32">
        <v>2310</v>
      </c>
      <c r="B9" t="s">
        <v>817</v>
      </c>
      <c r="C9" s="245">
        <f t="shared" si="0"/>
        <v>70036</v>
      </c>
      <c r="D9" s="244">
        <v>70036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8400</v>
      </c>
      <c r="D10" s="243"/>
      <c r="E10" s="244">
        <v>8400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170318</v>
      </c>
      <c r="D11" s="244">
        <v>170318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553787</v>
      </c>
      <c r="D12" s="20">
        <f>'DOE25'!L205+'DOE25'!L223+'DOE25'!L241-F12-G12</f>
        <v>547423</v>
      </c>
      <c r="E12" s="243"/>
      <c r="F12" s="255">
        <f>'DOE25'!J205+'DOE25'!J223+'DOE25'!J241</f>
        <v>0</v>
      </c>
      <c r="G12" s="53">
        <f>'DOE25'!K205+'DOE25'!K223+'DOE25'!K241</f>
        <v>6364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1215936</v>
      </c>
      <c r="D14" s="20">
        <f>'DOE25'!L207+'DOE25'!L225+'DOE25'!L243-F14-G14</f>
        <v>1202302</v>
      </c>
      <c r="E14" s="243"/>
      <c r="F14" s="255">
        <f>'DOE25'!J207+'DOE25'!J225+'DOE25'!J243</f>
        <v>13634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549568</v>
      </c>
      <c r="D15" s="20">
        <f>'DOE25'!L208+'DOE25'!L226+'DOE25'!L244-F15-G15</f>
        <v>457782</v>
      </c>
      <c r="E15" s="243"/>
      <c r="F15" s="255">
        <f>'DOE25'!J208+'DOE25'!J226+'DOE25'!J244</f>
        <v>91170</v>
      </c>
      <c r="G15" s="53">
        <f>'DOE25'!K208+'DOE25'!K226+'DOE25'!K244</f>
        <v>616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83158</v>
      </c>
      <c r="D29" s="20">
        <f>'DOE25'!L358+'DOE25'!L359+'DOE25'!L360-'DOE25'!I367-F29-G29</f>
        <v>78744</v>
      </c>
      <c r="E29" s="243"/>
      <c r="F29" s="255">
        <f>'DOE25'!J358+'DOE25'!J359+'DOE25'!J360</f>
        <v>1744</v>
      </c>
      <c r="G29" s="53">
        <f>'DOE25'!K358+'DOE25'!K359+'DOE25'!K360</f>
        <v>2670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144503</v>
      </c>
      <c r="D31" s="20">
        <f>'DOE25'!L290+'DOE25'!L309+'DOE25'!L328+'DOE25'!L333+'DOE25'!L334+'DOE25'!L335-F31-G31</f>
        <v>143837</v>
      </c>
      <c r="E31" s="243"/>
      <c r="F31" s="255">
        <f>'DOE25'!J290+'DOE25'!J309+'DOE25'!J328+'DOE25'!J333+'DOE25'!J334+'DOE25'!J335</f>
        <v>666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10660945</v>
      </c>
      <c r="E33" s="246">
        <f>SUM(E5:E31)</f>
        <v>293248</v>
      </c>
      <c r="F33" s="246">
        <f>SUM(F5:F31)</f>
        <v>366194</v>
      </c>
      <c r="G33" s="246">
        <f>SUM(G5:G31)</f>
        <v>32581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293248</v>
      </c>
      <c r="E35" s="249"/>
    </row>
    <row r="36" spans="2:8" ht="12" thickTop="1" x14ac:dyDescent="0.2">
      <c r="B36" t="s">
        <v>814</v>
      </c>
      <c r="D36" s="20">
        <f>D33</f>
        <v>10660945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1142569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42591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3501</v>
      </c>
      <c r="E12" s="95">
        <f>'DOE25'!H13</f>
        <v>23539</v>
      </c>
      <c r="F12" s="95">
        <f>'DOE25'!I13</f>
        <v>0</v>
      </c>
      <c r="G12" s="95">
        <f>'DOE25'!J13</f>
        <v>891047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1142569</v>
      </c>
      <c r="D18" s="41">
        <f>SUM(D8:D17)</f>
        <v>46092</v>
      </c>
      <c r="E18" s="41">
        <f>SUM(E8:E17)</f>
        <v>23539</v>
      </c>
      <c r="F18" s="41">
        <f>SUM(F8:F17)</f>
        <v>0</v>
      </c>
      <c r="G18" s="41">
        <f>SUM(G8:G17)</f>
        <v>891047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19052</v>
      </c>
      <c r="D21" s="95">
        <f>'DOE25'!G22</f>
        <v>0</v>
      </c>
      <c r="E21" s="95">
        <f>'DOE25'!H22</f>
        <v>23539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9903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 t="str">
        <f>'DOE25'!F25</f>
        <v>.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28955</v>
      </c>
      <c r="D31" s="41">
        <f>SUM(D21:D30)</f>
        <v>0</v>
      </c>
      <c r="E31" s="41">
        <f>SUM(E21:E30)</f>
        <v>23539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367082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250000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891047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46092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446532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1113614</v>
      </c>
      <c r="D50" s="41">
        <f>SUM(D34:D49)</f>
        <v>46092</v>
      </c>
      <c r="E50" s="41">
        <f>SUM(E34:E49)</f>
        <v>0</v>
      </c>
      <c r="F50" s="41">
        <f>SUM(F34:F49)</f>
        <v>0</v>
      </c>
      <c r="G50" s="41">
        <f>SUM(G34:G49)</f>
        <v>891047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1142569</v>
      </c>
      <c r="D51" s="41">
        <f>D50+D31</f>
        <v>46092</v>
      </c>
      <c r="E51" s="41">
        <f>E50+E31</f>
        <v>23539</v>
      </c>
      <c r="F51" s="41">
        <f>F50+F31</f>
        <v>0</v>
      </c>
      <c r="G51" s="41">
        <f>G50+G31</f>
        <v>891047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7776407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310412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5235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1852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87620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9046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324693</v>
      </c>
      <c r="D62" s="130">
        <f>SUM(D57:D61)</f>
        <v>87620</v>
      </c>
      <c r="E62" s="130">
        <f>SUM(E57:E61)</f>
        <v>0</v>
      </c>
      <c r="F62" s="130">
        <f>SUM(F57:F61)</f>
        <v>0</v>
      </c>
      <c r="G62" s="130">
        <f>SUM(G57:G61)</f>
        <v>1852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8101100</v>
      </c>
      <c r="D63" s="22">
        <f>D56+D62</f>
        <v>87620</v>
      </c>
      <c r="E63" s="22">
        <f>E56+E62</f>
        <v>0</v>
      </c>
      <c r="F63" s="22">
        <f>F56+F62</f>
        <v>0</v>
      </c>
      <c r="G63" s="22">
        <f>G56+G62</f>
        <v>1852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16818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2947522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2964340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136387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1717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1755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138104</v>
      </c>
      <c r="D78" s="130">
        <f>SUM(D72:D77)</f>
        <v>1755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3102444</v>
      </c>
      <c r="D81" s="130">
        <f>SUM(D79:D80)+D78+D70</f>
        <v>1755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77770</v>
      </c>
      <c r="D88" s="95">
        <f>SUM('DOE25'!G153:G161)</f>
        <v>42694</v>
      </c>
      <c r="E88" s="95">
        <f>SUM('DOE25'!H153:H161)</f>
        <v>144503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77770</v>
      </c>
      <c r="D91" s="131">
        <f>SUM(D85:D90)</f>
        <v>42694</v>
      </c>
      <c r="E91" s="131">
        <f>SUM(E85:E90)</f>
        <v>144503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20581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20581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11281314</v>
      </c>
      <c r="D104" s="86">
        <f>D63+D81+D91+D103</f>
        <v>152650</v>
      </c>
      <c r="E104" s="86">
        <f>E63+E81+E91+E103</f>
        <v>144503</v>
      </c>
      <c r="F104" s="86">
        <f>F63+F81+F91+F103</f>
        <v>0</v>
      </c>
      <c r="G104" s="86">
        <f>G63+G81+G103</f>
        <v>76852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4125715</v>
      </c>
      <c r="D109" s="24" t="s">
        <v>288</v>
      </c>
      <c r="E109" s="95">
        <f>('DOE25'!L276)+('DOE25'!L295)+('DOE25'!L314)</f>
        <v>91300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1860942</v>
      </c>
      <c r="D110" s="24" t="s">
        <v>288</v>
      </c>
      <c r="E110" s="95">
        <f>('DOE25'!L277)+('DOE25'!L296)+('DOE25'!L315)</f>
        <v>16660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6543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327167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6320367</v>
      </c>
      <c r="D115" s="86">
        <f>SUM(D109:D114)</f>
        <v>0</v>
      </c>
      <c r="E115" s="86">
        <f>SUM(E109:E114)</f>
        <v>107960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989847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945910</v>
      </c>
      <c r="D119" s="24" t="s">
        <v>288</v>
      </c>
      <c r="E119" s="95">
        <f>+('DOE25'!L282)+('DOE25'!L301)+('DOE25'!L320)</f>
        <v>23967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541492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553787</v>
      </c>
      <c r="D121" s="24" t="s">
        <v>288</v>
      </c>
      <c r="E121" s="95">
        <f>+('DOE25'!L284)+('DOE25'!L303)+('DOE25'!L322)</f>
        <v>12500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1215936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549568</v>
      </c>
      <c r="D124" s="24" t="s">
        <v>288</v>
      </c>
      <c r="E124" s="95">
        <f>+('DOE25'!L287)+('DOE25'!L306)+('DOE25'!L325)</f>
        <v>76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148639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4796540</v>
      </c>
      <c r="D128" s="86">
        <f>SUM(D118:D127)</f>
        <v>148639</v>
      </c>
      <c r="E128" s="86">
        <f>SUM(E118:E127)</f>
        <v>36543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20581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25327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51525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-1852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95581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11212488</v>
      </c>
      <c r="D145" s="86">
        <f>(D115+D128+D144)</f>
        <v>148639</v>
      </c>
      <c r="E145" s="86">
        <f>(E115+E128+E144)</f>
        <v>144503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Sunapee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22033</v>
      </c>
    </row>
    <row r="5" spans="1:4" x14ac:dyDescent="0.2">
      <c r="B5" t="s">
        <v>703</v>
      </c>
      <c r="C5" s="179">
        <f>IF('DOE25'!G665+'DOE25'!G670=0,0,ROUND('DOE25'!G672,0))</f>
        <v>24606</v>
      </c>
    </row>
    <row r="6" spans="1:4" x14ac:dyDescent="0.2">
      <c r="B6" t="s">
        <v>62</v>
      </c>
      <c r="C6" s="179">
        <f>IF('DOE25'!H665+'DOE25'!H670=0,0,ROUND('DOE25'!H672,0))</f>
        <v>25100</v>
      </c>
    </row>
    <row r="7" spans="1:4" x14ac:dyDescent="0.2">
      <c r="B7" t="s">
        <v>704</v>
      </c>
      <c r="C7" s="179">
        <f>IF('DOE25'!I665+'DOE25'!I670=0,0,ROUND('DOE25'!I672,0))</f>
        <v>23791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4217015</v>
      </c>
      <c r="D10" s="182">
        <f>ROUND((C10/$C$28)*100,1)</f>
        <v>37.200000000000003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1877602</v>
      </c>
      <c r="D11" s="182">
        <f>ROUND((C11/$C$28)*100,1)</f>
        <v>16.600000000000001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6543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327167</v>
      </c>
      <c r="D13" s="182">
        <f>ROUND((C13/$C$28)*100,1)</f>
        <v>2.9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989847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969877</v>
      </c>
      <c r="D16" s="182">
        <f t="shared" si="0"/>
        <v>8.6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541492</v>
      </c>
      <c r="D17" s="182">
        <f t="shared" si="0"/>
        <v>4.8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566287</v>
      </c>
      <c r="D18" s="182">
        <f t="shared" si="0"/>
        <v>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1215936</v>
      </c>
      <c r="D20" s="182">
        <f t="shared" si="0"/>
        <v>10.7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549644</v>
      </c>
      <c r="D21" s="182">
        <f t="shared" si="0"/>
        <v>4.9000000000000004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61019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11322429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11322429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7776407</v>
      </c>
      <c r="D35" s="182">
        <f t="shared" ref="D35:D40" si="1">ROUND((C35/$C$41)*100,1)</f>
        <v>67.8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326545</v>
      </c>
      <c r="D36" s="182">
        <f t="shared" si="1"/>
        <v>2.8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2964340</v>
      </c>
      <c r="D37" s="182">
        <f t="shared" si="1"/>
        <v>25.8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139859</v>
      </c>
      <c r="D38" s="182">
        <f t="shared" si="1"/>
        <v>1.2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264967</v>
      </c>
      <c r="D39" s="182">
        <f t="shared" si="1"/>
        <v>2.2999999999999998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11472118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Sunapee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2017-09-29T18:02:43Z</cp:lastPrinted>
  <dcterms:created xsi:type="dcterms:W3CDTF">1997-12-04T19:04:30Z</dcterms:created>
  <dcterms:modified xsi:type="dcterms:W3CDTF">2017-11-29T18:05:56Z</dcterms:modified>
</cp:coreProperties>
</file>