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800" windowHeight="124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72" i="1" l="1"/>
  <c r="H604" i="1" l="1"/>
  <c r="J207" i="1"/>
  <c r="F465" i="1" l="1"/>
  <c r="H234" i="1" l="1"/>
  <c r="H198" i="1"/>
  <c r="H276" i="1"/>
  <c r="H591" i="1"/>
  <c r="H521" i="1" l="1"/>
  <c r="H523" i="1"/>
  <c r="F368" i="1" l="1"/>
  <c r="I358" i="1"/>
  <c r="H358" i="1"/>
  <c r="G358" i="1"/>
  <c r="F358" i="1"/>
  <c r="G158" i="1"/>
  <c r="G97" i="1"/>
  <c r="H282" i="1"/>
  <c r="H155" i="1"/>
  <c r="H154" i="1"/>
  <c r="H208" i="1"/>
  <c r="H207" i="1" l="1"/>
  <c r="H205" i="1"/>
  <c r="H204" i="1"/>
  <c r="H203" i="1"/>
  <c r="H202" i="1"/>
  <c r="F110" i="1"/>
  <c r="F1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E13" i="13" s="1"/>
  <c r="C13" i="13" s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29" i="1" s="1"/>
  <c r="L233" i="1"/>
  <c r="C109" i="2" s="1"/>
  <c r="L234" i="1"/>
  <c r="L235" i="1"/>
  <c r="L236" i="1"/>
  <c r="F6" i="13"/>
  <c r="G6" i="13"/>
  <c r="L202" i="1"/>
  <c r="L220" i="1"/>
  <c r="L238" i="1"/>
  <c r="F7" i="13"/>
  <c r="G7" i="13"/>
  <c r="L203" i="1"/>
  <c r="D7" i="13" s="1"/>
  <c r="C7" i="13" s="1"/>
  <c r="L221" i="1"/>
  <c r="L239" i="1"/>
  <c r="F12" i="13"/>
  <c r="G12" i="13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F17" i="13"/>
  <c r="G17" i="13"/>
  <c r="L251" i="1"/>
  <c r="D17" i="13" s="1"/>
  <c r="C17" i="13" s="1"/>
  <c r="F18" i="13"/>
  <c r="G18" i="13"/>
  <c r="L252" i="1"/>
  <c r="F19" i="13"/>
  <c r="D19" i="13" s="1"/>
  <c r="C19" i="13" s="1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E119" i="2" s="1"/>
  <c r="L283" i="1"/>
  <c r="L284" i="1"/>
  <c r="L285" i="1"/>
  <c r="L286" i="1"/>
  <c r="E123" i="2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L261" i="1"/>
  <c r="C132" i="2" s="1"/>
  <c r="L341" i="1"/>
  <c r="C32" i="10" s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79" i="1"/>
  <c r="C57" i="2" s="1"/>
  <c r="F94" i="1"/>
  <c r="C58" i="2" s="1"/>
  <c r="F111" i="1"/>
  <c r="G111" i="1"/>
  <c r="H79" i="1"/>
  <c r="E57" i="2" s="1"/>
  <c r="H94" i="1"/>
  <c r="E58" i="2" s="1"/>
  <c r="E62" i="2" s="1"/>
  <c r="E63" i="2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F169" i="1" s="1"/>
  <c r="G147" i="1"/>
  <c r="D85" i="2" s="1"/>
  <c r="G162" i="1"/>
  <c r="H147" i="1"/>
  <c r="H162" i="1"/>
  <c r="I147" i="1"/>
  <c r="I169" i="1" s="1"/>
  <c r="I162" i="1"/>
  <c r="C12" i="10"/>
  <c r="L250" i="1"/>
  <c r="L332" i="1"/>
  <c r="L254" i="1"/>
  <c r="L268" i="1"/>
  <c r="L269" i="1"/>
  <c r="L349" i="1"/>
  <c r="L350" i="1"/>
  <c r="E143" i="2" s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L541" i="1"/>
  <c r="L542" i="1"/>
  <c r="J550" i="1" s="1"/>
  <c r="L543" i="1"/>
  <c r="J551" i="1" s="1"/>
  <c r="E132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C59" i="2"/>
  <c r="D59" i="2"/>
  <c r="E59" i="2"/>
  <c r="F59" i="2"/>
  <c r="D60" i="2"/>
  <c r="D62" i="2" s="1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E81" i="2" s="1"/>
  <c r="F76" i="2"/>
  <c r="C77" i="2"/>
  <c r="C78" i="2" s="1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E113" i="2"/>
  <c r="D115" i="2"/>
  <c r="F115" i="2"/>
  <c r="G115" i="2"/>
  <c r="E120" i="2"/>
  <c r="E121" i="2"/>
  <c r="E124" i="2"/>
  <c r="E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H446" i="1"/>
  <c r="F452" i="1"/>
  <c r="G452" i="1"/>
  <c r="H452" i="1"/>
  <c r="F460" i="1"/>
  <c r="G460" i="1"/>
  <c r="G461" i="1" s="1"/>
  <c r="H640" i="1" s="1"/>
  <c r="H460" i="1"/>
  <c r="F461" i="1"/>
  <c r="H461" i="1"/>
  <c r="F470" i="1"/>
  <c r="G470" i="1"/>
  <c r="H470" i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I571" i="1" s="1"/>
  <c r="J560" i="1"/>
  <c r="K560" i="1"/>
  <c r="K571" i="1" s="1"/>
  <c r="L562" i="1"/>
  <c r="L563" i="1"/>
  <c r="L564" i="1"/>
  <c r="F565" i="1"/>
  <c r="G565" i="1"/>
  <c r="H565" i="1"/>
  <c r="H571" i="1" s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H639" i="1"/>
  <c r="G640" i="1"/>
  <c r="G641" i="1"/>
  <c r="H641" i="1"/>
  <c r="G643" i="1"/>
  <c r="J643" i="1" s="1"/>
  <c r="H643" i="1"/>
  <c r="G644" i="1"/>
  <c r="J644" i="1" s="1"/>
  <c r="G645" i="1"/>
  <c r="G651" i="1"/>
  <c r="G652" i="1"/>
  <c r="H652" i="1"/>
  <c r="G653" i="1"/>
  <c r="H653" i="1"/>
  <c r="G654" i="1"/>
  <c r="H654" i="1"/>
  <c r="H655" i="1"/>
  <c r="L256" i="1"/>
  <c r="A31" i="12"/>
  <c r="D18" i="13"/>
  <c r="C18" i="13" s="1"/>
  <c r="D18" i="2"/>
  <c r="F78" i="2"/>
  <c r="F81" i="2" s="1"/>
  <c r="D50" i="2"/>
  <c r="F18" i="2"/>
  <c r="G156" i="2"/>
  <c r="G62" i="2"/>
  <c r="J257" i="1"/>
  <c r="J271" i="1" s="1"/>
  <c r="J571" i="1"/>
  <c r="L433" i="1"/>
  <c r="D81" i="2"/>
  <c r="H169" i="1"/>
  <c r="G476" i="1"/>
  <c r="H623" i="1" s="1"/>
  <c r="J623" i="1" s="1"/>
  <c r="F571" i="1"/>
  <c r="K550" i="1"/>
  <c r="G22" i="2"/>
  <c r="L309" i="1"/>
  <c r="L570" i="1"/>
  <c r="G36" i="2"/>
  <c r="L565" i="1"/>
  <c r="J476" i="1" l="1"/>
  <c r="H626" i="1" s="1"/>
  <c r="J622" i="1"/>
  <c r="C110" i="2"/>
  <c r="J651" i="1"/>
  <c r="J640" i="1"/>
  <c r="J645" i="1"/>
  <c r="K598" i="1"/>
  <c r="G647" i="1" s="1"/>
  <c r="K545" i="1"/>
  <c r="L534" i="1"/>
  <c r="J545" i="1"/>
  <c r="L529" i="1"/>
  <c r="H545" i="1"/>
  <c r="H476" i="1"/>
  <c r="H624" i="1" s="1"/>
  <c r="L401" i="1"/>
  <c r="C139" i="2" s="1"/>
  <c r="I369" i="1"/>
  <c r="H634" i="1" s="1"/>
  <c r="J634" i="1" s="1"/>
  <c r="L362" i="1"/>
  <c r="C27" i="10" s="1"/>
  <c r="F661" i="1"/>
  <c r="D91" i="2"/>
  <c r="E31" i="2"/>
  <c r="J655" i="1"/>
  <c r="C25" i="10"/>
  <c r="C20" i="10"/>
  <c r="C17" i="10"/>
  <c r="C16" i="10"/>
  <c r="C11" i="10"/>
  <c r="H257" i="1"/>
  <c r="H271" i="1" s="1"/>
  <c r="D5" i="13"/>
  <c r="C5" i="13" s="1"/>
  <c r="C91" i="2"/>
  <c r="F112" i="1"/>
  <c r="J617" i="1"/>
  <c r="C81" i="2"/>
  <c r="G662" i="1"/>
  <c r="G650" i="1"/>
  <c r="J650" i="1" s="1"/>
  <c r="C13" i="10"/>
  <c r="J624" i="1"/>
  <c r="H112" i="1"/>
  <c r="L351" i="1"/>
  <c r="I545" i="1"/>
  <c r="I257" i="1"/>
  <c r="I271" i="1" s="1"/>
  <c r="K257" i="1"/>
  <c r="K271" i="1" s="1"/>
  <c r="G157" i="2"/>
  <c r="C125" i="2"/>
  <c r="C119" i="2"/>
  <c r="C21" i="10"/>
  <c r="C56" i="2"/>
  <c r="C35" i="10"/>
  <c r="A40" i="12"/>
  <c r="E122" i="2"/>
  <c r="E118" i="2"/>
  <c r="C10" i="10"/>
  <c r="E109" i="2"/>
  <c r="E115" i="2" s="1"/>
  <c r="L290" i="1"/>
  <c r="L338" i="1" s="1"/>
  <c r="L352" i="1" s="1"/>
  <c r="G633" i="1" s="1"/>
  <c r="J633" i="1" s="1"/>
  <c r="F662" i="1"/>
  <c r="C124" i="2"/>
  <c r="G649" i="1"/>
  <c r="J649" i="1" s="1"/>
  <c r="D15" i="13"/>
  <c r="C15" i="13" s="1"/>
  <c r="D12" i="13"/>
  <c r="C12" i="13" s="1"/>
  <c r="C118" i="2"/>
  <c r="D6" i="13"/>
  <c r="C6" i="13" s="1"/>
  <c r="C15" i="10"/>
  <c r="C111" i="2"/>
  <c r="C122" i="2"/>
  <c r="C19" i="10"/>
  <c r="E8" i="13"/>
  <c r="C8" i="13" s="1"/>
  <c r="E16" i="13"/>
  <c r="H25" i="13"/>
  <c r="D63" i="2"/>
  <c r="L614" i="1"/>
  <c r="L427" i="1"/>
  <c r="G192" i="1"/>
  <c r="B164" i="2"/>
  <c r="G164" i="2" s="1"/>
  <c r="K503" i="1"/>
  <c r="C121" i="2"/>
  <c r="C114" i="2"/>
  <c r="C112" i="2"/>
  <c r="C115" i="2" s="1"/>
  <c r="E131" i="2"/>
  <c r="E144" i="2" s="1"/>
  <c r="J549" i="1"/>
  <c r="J552" i="1" s="1"/>
  <c r="L544" i="1"/>
  <c r="F549" i="1"/>
  <c r="L524" i="1"/>
  <c r="L211" i="1"/>
  <c r="C26" i="10"/>
  <c r="L393" i="1"/>
  <c r="C138" i="2" s="1"/>
  <c r="C29" i="10"/>
  <c r="D127" i="2"/>
  <c r="D128" i="2" s="1"/>
  <c r="D145" i="2" s="1"/>
  <c r="D14" i="13"/>
  <c r="C14" i="13" s="1"/>
  <c r="C18" i="10"/>
  <c r="L247" i="1"/>
  <c r="H660" i="1" s="1"/>
  <c r="C120" i="2"/>
  <c r="F22" i="13"/>
  <c r="C22" i="13" s="1"/>
  <c r="D29" i="13"/>
  <c r="C29" i="13" s="1"/>
  <c r="H647" i="1"/>
  <c r="J647" i="1" s="1"/>
  <c r="J641" i="1"/>
  <c r="G625" i="1"/>
  <c r="G545" i="1"/>
  <c r="K500" i="1"/>
  <c r="I476" i="1"/>
  <c r="H625" i="1" s="1"/>
  <c r="I460" i="1"/>
  <c r="I452" i="1"/>
  <c r="I461" i="1" s="1"/>
  <c r="H642" i="1" s="1"/>
  <c r="I446" i="1"/>
  <c r="G642" i="1" s="1"/>
  <c r="C18" i="2"/>
  <c r="I551" i="1"/>
  <c r="K551" i="1" s="1"/>
  <c r="L539" i="1"/>
  <c r="F130" i="2"/>
  <c r="F144" i="2" s="1"/>
  <c r="F145" i="2" s="1"/>
  <c r="H661" i="1"/>
  <c r="I661" i="1" s="1"/>
  <c r="L382" i="1"/>
  <c r="G636" i="1" s="1"/>
  <c r="J636" i="1" s="1"/>
  <c r="K338" i="1"/>
  <c r="K352" i="1" s="1"/>
  <c r="G81" i="2"/>
  <c r="C62" i="2"/>
  <c r="C63" i="2" s="1"/>
  <c r="G112" i="1"/>
  <c r="C36" i="10" s="1"/>
  <c r="J338" i="1"/>
  <c r="J352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F51" i="2" s="1"/>
  <c r="C24" i="10"/>
  <c r="G660" i="1"/>
  <c r="G664" i="1" s="1"/>
  <c r="G667" i="1" s="1"/>
  <c r="G31" i="13"/>
  <c r="G33" i="13" s="1"/>
  <c r="I338" i="1"/>
  <c r="I352" i="1" s="1"/>
  <c r="L407" i="1"/>
  <c r="C140" i="2" s="1"/>
  <c r="L571" i="1"/>
  <c r="I192" i="1"/>
  <c r="E91" i="2"/>
  <c r="E104" i="2" s="1"/>
  <c r="L408" i="1"/>
  <c r="G637" i="1" s="1"/>
  <c r="J637" i="1" s="1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I140" i="1"/>
  <c r="I193" i="1" s="1"/>
  <c r="G630" i="1" s="1"/>
  <c r="J630" i="1" s="1"/>
  <c r="A22" i="12"/>
  <c r="G50" i="2"/>
  <c r="G51" i="2" s="1"/>
  <c r="C104" i="2"/>
  <c r="J652" i="1"/>
  <c r="G571" i="1"/>
  <c r="I434" i="1"/>
  <c r="G434" i="1"/>
  <c r="I663" i="1"/>
  <c r="H646" i="1" l="1"/>
  <c r="J646" i="1" s="1"/>
  <c r="J642" i="1"/>
  <c r="L545" i="1"/>
  <c r="G635" i="1"/>
  <c r="J635" i="1" s="1"/>
  <c r="G672" i="1"/>
  <c r="C5" i="10" s="1"/>
  <c r="D104" i="2"/>
  <c r="H664" i="1"/>
  <c r="H667" i="1" s="1"/>
  <c r="F660" i="1"/>
  <c r="F664" i="1" s="1"/>
  <c r="F672" i="1" s="1"/>
  <c r="C4" i="10" s="1"/>
  <c r="F193" i="1"/>
  <c r="G627" i="1" s="1"/>
  <c r="J627" i="1" s="1"/>
  <c r="K549" i="1"/>
  <c r="K552" i="1" s="1"/>
  <c r="F552" i="1"/>
  <c r="C28" i="10"/>
  <c r="D22" i="10" s="1"/>
  <c r="D31" i="13"/>
  <c r="C31" i="13" s="1"/>
  <c r="C141" i="2"/>
  <c r="C144" i="2" s="1"/>
  <c r="C25" i="13"/>
  <c r="H33" i="13"/>
  <c r="C128" i="2"/>
  <c r="H648" i="1"/>
  <c r="J648" i="1" s="1"/>
  <c r="F33" i="13"/>
  <c r="G104" i="2"/>
  <c r="J625" i="1"/>
  <c r="E33" i="13"/>
  <c r="D35" i="13" s="1"/>
  <c r="C16" i="13"/>
  <c r="I662" i="1"/>
  <c r="E128" i="2"/>
  <c r="E145" i="2" s="1"/>
  <c r="I552" i="1"/>
  <c r="L257" i="1"/>
  <c r="L271" i="1" s="1"/>
  <c r="G632" i="1" s="1"/>
  <c r="J632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H672" i="1"/>
  <c r="C6" i="10" s="1"/>
  <c r="D33" i="13"/>
  <c r="D36" i="13" s="1"/>
  <c r="C145" i="2"/>
  <c r="D19" i="10"/>
  <c r="D18" i="10"/>
  <c r="D15" i="10"/>
  <c r="D12" i="10"/>
  <c r="F667" i="1"/>
  <c r="D27" i="10"/>
  <c r="D17" i="10"/>
  <c r="D24" i="10"/>
  <c r="D20" i="10"/>
  <c r="D25" i="10"/>
  <c r="D10" i="10"/>
  <c r="D26" i="10"/>
  <c r="C30" i="10"/>
  <c r="D16" i="10"/>
  <c r="D23" i="10"/>
  <c r="D13" i="10"/>
  <c r="D11" i="10"/>
  <c r="D21" i="10"/>
  <c r="H656" i="1"/>
  <c r="C41" i="10"/>
  <c r="D38" i="10" s="1"/>
  <c r="I672" i="1" l="1"/>
  <c r="C7" i="10" s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<sst xmlns="http://schemas.openxmlformats.org/spreadsheetml/2006/main" count="3958" uniqueCount="916">
  <si>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</si>
  <si>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</si>
  <si>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</si>
  <si>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</si>
  <si>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</si>
  <si>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</si>
  <si>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</si>
  <si>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</si>
  <si>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</si>
  <si>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</si>
  <si>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</si>
  <si>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</si>
  <si>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</si>
  <si>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</si>
  <si>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</si>
  <si>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</si>
  <si>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</si>
  <si>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</si>
  <si>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</si>
  <si>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</si>
  <si>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</si>
  <si>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</si>
  <si>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</si>
  <si>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</si>
  <si>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</si>
  <si>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</si>
  <si>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</si>
  <si>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</si>
  <si>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</si>
  <si>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</si>
  <si>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</si>
  <si>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</si>
  <si>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</si>
  <si>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</si>
  <si>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</si>
  <si>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</si>
  <si>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</si>
  <si>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</si>
  <si>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</si>
  <si>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</si>
  <si>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</si>
  <si>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</si>
  <si>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</si>
  <si>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</si>
  <si>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</si>
  <si>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</si>
  <si>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</si>
  <si>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</si>
  <si>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</si>
  <si>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</si>
  <si>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</si>
  <si>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</si>
  <si>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</si>
  <si>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</si>
  <si>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</si>
  <si>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</si>
  <si>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</si>
  <si>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</si>
  <si>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</si>
  <si>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</si>
  <si>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</si>
  <si>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</si>
  <si>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</si>
  <si>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</si>
  <si>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</si>
  <si>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</si>
  <si>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</si>
  <si>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</si>
  <si>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</si>
  <si>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</si>
  <si>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</si>
  <si>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</si>
  <si>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</si>
  <si>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</si>
  <si>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</si>
  <si>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</si>
  <si>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</si>
  <si>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</si>
  <si>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</si>
  <si>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</si>
  <si>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</si>
  <si>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</si>
  <si>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</si>
  <si>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</si>
  <si>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</si>
  <si>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</si>
  <si>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</si>
  <si>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</si>
  <si>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</si>
  <si>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</si>
  <si>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</si>
  <si>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</si>
  <si>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</si>
  <si>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</si>
  <si>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</si>
  <si>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</si>
  <si>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</si>
  <si>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</si>
  <si>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</si>
  <si>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</si>
  <si>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</si>
  <si>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</si>
  <si>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</si>
  <si>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</si>
  <si>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</si>
  <si>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</si>
  <si>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</si>
  <si>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</si>
  <si>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</si>
  <si>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</si>
  <si>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</si>
  <si>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</si>
  <si>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</si>
  <si>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</si>
  <si>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</si>
  <si>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</si>
  <si>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</si>
  <si>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</si>
  <si>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</si>
  <si>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</si>
  <si>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</si>
  <si>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</si>
  <si>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</si>
  <si>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</si>
  <si>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</si>
  <si>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</si>
  <si>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</si>
  <si>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</si>
  <si>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</si>
  <si>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</si>
  <si>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</si>
  <si>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</si>
  <si>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</si>
  <si>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</si>
  <si>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</si>
  <si>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</si>
  <si>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</si>
  <si>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</si>
  <si>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</si>
  <si>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</si>
  <si>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</si>
  <si>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</si>
  <si>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</si>
  <si>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</si>
  <si>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</si>
  <si>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</si>
  <si>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</si>
  <si>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</si>
  <si>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</si>
  <si>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</si>
  <si>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</si>
  <si>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</si>
  <si>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</si>
  <si>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</si>
  <si>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</si>
  <si>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</si>
  <si>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</si>
  <si>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</si>
  <si>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</si>
  <si>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</si>
  <si>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</si>
  <si>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</si>
  <si>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</si>
  <si>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</si>
  <si>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</si>
  <si>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</si>
  <si>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</si>
  <si>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</si>
  <si>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</si>
  <si>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</si>
  <si>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</si>
  <si>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</si>
  <si>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</si>
  <si>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</si>
  <si>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</si>
  <si>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</si>
  <si>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</si>
  <si>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</si>
  <si>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</si>
  <si>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</si>
  <si>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</si>
  <si>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</si>
  <si>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</si>
  <si>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</si>
  <si>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</si>
  <si>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</si>
  <si>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</si>
  <si>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</si>
  <si>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</si>
  <si>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</si>
  <si>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</si>
  <si>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</si>
  <si>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</si>
  <si>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</si>
  <si>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</si>
  <si>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</si>
  <si>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</si>
  <si>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</si>
  <si>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</si>
  <si>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</si>
  <si>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</si>
  <si>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</si>
  <si>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</si>
  <si>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</si>
  <si>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</si>
  <si>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</si>
  <si>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</si>
  <si>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</si>
  <si>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</si>
  <si>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</si>
  <si>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</si>
  <si>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</si>
  <si>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</si>
  <si>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</si>
  <si>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</si>
  <si>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</si>
  <si>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</si>
  <si>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</si>
  <si>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</si>
  <si>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</si>
  <si>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</si>
  <si>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</si>
  <si>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</si>
  <si>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</si>
  <si>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</si>
  <si>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</si>
  <si>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</si>
  <si>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</si>
  <si>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</si>
  <si>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</si>
  <si>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</si>
  <si>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</si>
  <si>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</si>
  <si>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</si>
  <si>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</si>
  <si>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</si>
  <si>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</si>
  <si>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</si>
  <si>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</si>
  <si>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</si>
  <si>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</si>
  <si>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</si>
  <si>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</si>
  <si>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</si>
  <si>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</si>
  <si>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</si>
  <si>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</si>
  <si>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</si>
  <si>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</si>
  <si>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</si>
  <si>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</si>
  <si>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</si>
  <si>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</si>
  <si>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</si>
  <si>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</si>
  <si>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</si>
  <si>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</si>
  <si>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</si>
  <si>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</si>
  <si>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</si>
  <si>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</si>
  <si>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</si>
  <si>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</si>
  <si>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</si>
  <si>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</si>
  <si>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</si>
  <si>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</si>
  <si>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</si>
  <si>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</si>
  <si>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</si>
  <si>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</si>
  <si>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</si>
  <si>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</si>
  <si>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</si>
  <si>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</si>
  <si>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</si>
  <si>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</si>
  <si>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</si>
  <si>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</si>
  <si>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</si>
  <si>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</si>
  <si>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</si>
  <si>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</si>
  <si>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</si>
  <si>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</si>
  <si>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</si>
  <si>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</si>
  <si>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</si>
  <si>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</si>
  <si>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</si>
  <si>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</si>
  <si>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</si>
  <si>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</si>
  <si>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</si>
  <si>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</si>
  <si>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</si>
  <si>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</si>
  <si>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</si>
  <si>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</si>
  <si>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</si>
  <si>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</si>
  <si>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</si>
  <si>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</si>
  <si>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</si>
  <si>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</si>
  <si>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</si>
  <si>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</si>
  <si>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</si>
  <si>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</si>
  <si>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</si>
  <si>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</si>
  <si>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</si>
  <si>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</si>
  <si>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</si>
  <si>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</si>
  <si>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</si>
  <si>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</si>
  <si>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</si>
  <si>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</si>
  <si>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</si>
  <si>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</si>
  <si>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</si>
  <si>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</si>
  <si>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</si>
  <si>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</si>
  <si>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</si>
  <si>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</si>
  <si>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</si>
  <si>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</si>
  <si>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</si>
  <si>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</si>
  <si>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</si>
  <si>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</si>
  <si>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</si>
  <si>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</si>
  <si>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</si>
  <si>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</si>
  <si>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</si>
  <si>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</si>
  <si>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</si>
  <si>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</si>
  <si>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</si>
  <si>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</si>
  <si>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</si>
  <si>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</si>
  <si>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</si>
  <si>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</si>
  <si>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</si>
  <si>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</si>
  <si>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</si>
  <si>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</si>
  <si>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</si>
  <si>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</si>
  <si>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</si>
  <si>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</si>
  <si>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</si>
  <si>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</si>
  <si>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</si>
  <si>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</si>
  <si>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</si>
  <si>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</si>
  <si>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</si>
  <si>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</si>
  <si>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</si>
  <si>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</si>
  <si>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</si>
  <si>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</si>
  <si>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</si>
  <si>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</si>
  <si>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</si>
  <si>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</si>
  <si>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</si>
  <si>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</si>
  <si>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</si>
  <si>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</si>
  <si>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</si>
  <si>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</si>
  <si>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</si>
  <si>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</si>
  <si>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</si>
  <si>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</si>
  <si>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</si>
  <si>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</si>
  <si>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</si>
  <si>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</si>
  <si>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</si>
  <si>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</si>
  <si>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</si>
  <si>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</si>
  <si>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</si>
  <si>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</si>
  <si>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</si>
  <si>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</si>
  <si>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</si>
  <si>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</si>
  <si>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</si>
  <si>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</si>
  <si>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</si>
  <si>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</si>
  <si>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</si>
  <si>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</si>
  <si>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</si>
  <si>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</si>
  <si>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</si>
  <si>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</si>
  <si>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</si>
  <si>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</si>
  <si>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</si>
  <si>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</si>
  <si>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</si>
  <si>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</si>
  <si>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</si>
  <si>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</si>
  <si>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</si>
  <si>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</si>
  <si>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</si>
  <si>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</si>
  <si>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</si>
  <si>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</si>
  <si>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</si>
  <si>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</si>
  <si>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</si>
  <si>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</si>
  <si>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</si>
  <si>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</si>
  <si>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</si>
  <si>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</si>
  <si>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</si>
  <si>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</si>
  <si>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</si>
  <si>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</si>
  <si>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</si>
  <si>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</si>
  <si>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</si>
  <si>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</si>
  <si>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</si>
  <si>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</si>
  <si>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</si>
  <si>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</si>
  <si>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</si>
  <si>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</si>
  <si>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</si>
  <si>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</si>
  <si>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</si>
  <si>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</si>
  <si>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</si>
  <si>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</si>
  <si>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</si>
  <si>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</si>
  <si>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</si>
  <si>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</si>
  <si>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</si>
  <si>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</si>
  <si>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</si>
  <si>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</si>
  <si>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</si>
  <si>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</si>
  <si>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</si>
  <si>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</si>
  <si>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</si>
  <si>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</si>
  <si>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</si>
  <si>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</si>
  <si>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</si>
  <si>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</si>
  <si>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</si>
  <si>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</si>
  <si>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</si>
  <si>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</si>
  <si>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</si>
  <si>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</si>
  <si>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</si>
  <si>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</si>
  <si>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</si>
  <si>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</si>
  <si>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</si>
  <si>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</si>
  <si>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</si>
  <si>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</si>
  <si>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</si>
  <si>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</si>
  <si>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</si>
  <si>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</si>
  <si>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</si>
  <si>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</si>
  <si>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</si>
  <si>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</si>
  <si>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</si>
  <si>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</si>
  <si>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</si>
  <si>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</si>
  <si>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</si>
  <si>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</si>
  <si>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</si>
  <si>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</si>
  <si>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</si>
  <si>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</si>
  <si>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</si>
  <si>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</si>
  <si>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</si>
  <si>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</si>
  <si>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</si>
  <si>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</si>
  <si>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</si>
  <si>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</si>
  <si>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</si>
  <si>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</si>
  <si>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</si>
  <si>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</si>
  <si>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</si>
  <si>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</si>
  <si>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</si>
  <si>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</si>
  <si>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</si>
  <si>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</si>
  <si>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</si>
  <si>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</si>
  <si>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</si>
  <si>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</si>
  <si>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</si>
  <si>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</si>
  <si>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</si>
  <si>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</si>
  <si>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</si>
  <si>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</si>
  <si>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</si>
  <si>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</si>
  <si>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</si>
  <si>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</si>
  <si>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</si>
  <si>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</si>
  <si>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</si>
  <si>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</si>
  <si>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</si>
  <si>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</si>
  <si>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</si>
  <si>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</si>
  <si>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</si>
  <si>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</si>
  <si>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</si>
  <si>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</si>
  <si>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</si>
  <si>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</si>
  <si>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</si>
  <si>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</si>
  <si>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</si>
  <si>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</si>
  <si>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</si>
  <si>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</si>
  <si>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</si>
  <si>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</si>
  <si>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</si>
  <si>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</si>
  <si>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</si>
  <si>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</si>
  <si>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</si>
  <si>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</si>
  <si>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</si>
  <si>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</si>
  <si>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</si>
  <si>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</si>
  <si>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</si>
  <si>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</si>
  <si>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</si>
  <si>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</si>
  <si>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</si>
  <si>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</si>
  <si>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</si>
  <si>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</si>
  <si>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</si>
  <si>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</si>
  <si>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</si>
  <si>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</si>
  <si>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</si>
  <si>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</si>
  <si>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</si>
  <si>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</si>
  <si>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</si>
  <si>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</si>
  <si>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</si>
  <si>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</si>
  <si>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</si>
  <si>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</si>
  <si>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</si>
  <si>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</si>
  <si>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</si>
  <si>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</si>
  <si>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</si>
  <si>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</si>
  <si>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</si>
  <si>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</si>
  <si>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</si>
  <si>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</si>
  <si>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</si>
  <si>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</si>
  <si>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</si>
  <si>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</si>
  <si>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</si>
  <si>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</si>
  <si>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</si>
  <si>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</si>
  <si>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</si>
  <si>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</si>
  <si>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</si>
  <si>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</si>
  <si>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</si>
  <si>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</si>
  <si>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</si>
  <si>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</si>
  <si>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</si>
  <si>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</si>
  <si>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</si>
  <si>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</si>
  <si>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</si>
  <si>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</si>
  <si>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</si>
  <si>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</si>
  <si>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</si>
  <si>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</si>
  <si>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</si>
  <si>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</si>
  <si>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</si>
  <si>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</si>
  <si>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</si>
  <si>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</si>
  <si>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</si>
  <si>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</si>
  <si>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</si>
  <si>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</si>
  <si>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</si>
  <si>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</si>
  <si>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</si>
  <si>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</si>
  <si>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</si>
  <si>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</si>
  <si>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</si>
  <si>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</si>
  <si>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</si>
  <si>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</si>
  <si>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</si>
  <si>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</si>
  <si>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</si>
  <si>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</si>
  <si>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</si>
  <si>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</si>
  <si>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</si>
  <si>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</si>
  <si>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</si>
  <si>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</si>
  <si>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</si>
  <si>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</si>
  <si>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</si>
  <si>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</si>
  <si>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</si>
  <si>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</si>
  <si>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</si>
  <si>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</si>
  <si>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</si>
  <si>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</si>
  <si>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</si>
  <si>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</si>
  <si>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</si>
  <si>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</si>
  <si>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</si>
  <si>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</si>
  <si>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</si>
  <si>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</si>
  <si>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</si>
  <si>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</si>
  <si>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</si>
  <si>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</si>
  <si>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</si>
  <si>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</si>
  <si>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</si>
  <si>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</si>
  <si>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</si>
  <si>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</si>
  <si>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</si>
  <si>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</si>
  <si>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</si>
  <si>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</si>
  <si>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</si>
  <si>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</si>
  <si>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</si>
  <si>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</si>
  <si>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</si>
  <si>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</si>
  <si>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</si>
  <si>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</si>
  <si>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</si>
  <si>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</si>
  <si>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</si>
  <si>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</si>
  <si>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</si>
  <si>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</si>
  <si>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</si>
  <si>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</si>
  <si>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</si>
  <si>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</si>
  <si>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</si>
  <si>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</si>
  <si>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</si>
  <si>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</si>
  <si>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</si>
  <si>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</si>
  <si>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</si>
  <si>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</si>
  <si>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</si>
  <si>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</si>
  <si>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</si>
  <si>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</si>
  <si>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</si>
  <si>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</si>
  <si>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</si>
  <si>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</si>
  <si>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</si>
  <si>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</si>
  <si>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</si>
  <si>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</si>
  <si>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</si>
  <si>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</si>
  <si>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</si>
  <si>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</si>
  <si>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</si>
  <si>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</si>
  <si>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</si>
  <si>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</si>
  <si>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</si>
  <si>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</si>
  <si>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</si>
  <si>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</si>
  <si>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</si>
  <si>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</si>
  <si>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</si>
  <si>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</si>
  <si>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</si>
  <si>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</si>
  <si>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</si>
  <si>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</si>
  <si>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</si>
  <si>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</si>
  <si>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</si>
  <si>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</si>
  <si>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</si>
  <si>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</si>
  <si>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</si>
  <si>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</si>
  <si>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</si>
  <si>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</si>
  <si>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</si>
  <si>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</si>
  <si>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</si>
  <si>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</si>
  <si>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</si>
  <si>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</si>
  <si>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</si>
  <si>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</si>
  <si>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</si>
  <si>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</si>
  <si>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</si>
  <si>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</si>
  <si>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</si>
  <si>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</si>
  <si>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</si>
  <si>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</si>
  <si>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</si>
  <si>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</si>
  <si>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</si>
  <si>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</si>
  <si>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</si>
  <si>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</si>
  <si>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</si>
  <si>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</si>
  <si>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</si>
  <si>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</si>
  <si>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</si>
  <si>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</si>
  <si>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</si>
  <si>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</si>
  <si>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</si>
  <si>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</si>
  <si>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</si>
  <si>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</si>
  <si>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</si>
  <si>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</si>
  <si>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</si>
  <si>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</si>
  <si>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</si>
  <si>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</si>
  <si>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</si>
  <si>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</si>
  <si>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</si>
  <si>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</si>
  <si>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</si>
  <si>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</si>
  <si>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</si>
  <si>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</si>
  <si>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</si>
  <si>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</si>
  <si>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</si>
  <si>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</si>
  <si>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</si>
  <si>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</si>
  <si>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</si>
  <si>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</si>
  <si>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</si>
  <si>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</si>
  <si>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</si>
  <si>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</si>
  <si>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</si>
  <si>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</si>
  <si>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</si>
  <si>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</si>
  <si>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</si>
  <si>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</si>
  <si>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</si>
  <si>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</si>
  <si>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</si>
  <si>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</si>
  <si>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</si>
  <si>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</si>
  <si>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</si>
  <si>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</si>
  <si>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</si>
  <si>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</si>
  <si>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</si>
  <si>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</si>
  <si>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</si>
  <si>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</si>
  <si>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</si>
  <si>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</si>
  <si>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</si>
  <si>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</si>
  <si>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</si>
  <si>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</si>
  <si>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</si>
  <si>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</si>
  <si>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</si>
  <si>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</si>
  <si>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</si>
  <si>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</si>
  <si>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</si>
  <si>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</si>
  <si>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</si>
  <si>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</si>
  <si>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</si>
  <si>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</si>
  <si>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</si>
  <si>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</si>
  <si>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</si>
  <si>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</si>
  <si>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</si>
  <si>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</si>
  <si>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</si>
  <si>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</si>
  <si>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</si>
  <si>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</si>
  <si>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</si>
  <si>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</si>
  <si>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</si>
  <si>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</si>
  <si>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</si>
  <si>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</si>
  <si>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</si>
  <si>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</si>
  <si>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</si>
  <si>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</si>
  <si>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</si>
  <si>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</si>
  <si>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</si>
  <si>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</si>
  <si>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</si>
  <si>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</si>
  <si>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</si>
  <si>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</si>
  <si>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</si>
  <si>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</si>
  <si>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</si>
  <si>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</si>
  <si>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</si>
  <si>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</si>
  <si>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</si>
  <si>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</si>
  <si>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</si>
  <si>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</si>
  <si>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</si>
  <si>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</si>
  <si>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</si>
  <si>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</si>
  <si>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</si>
  <si>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</si>
  <si>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</si>
  <si>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</si>
  <si>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</si>
  <si>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</si>
  <si>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</si>
  <si>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</si>
  <si>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</si>
  <si>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</si>
  <si>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</si>
  <si>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</si>
  <si>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</si>
  <si>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</si>
  <si>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</si>
  <si>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</si>
  <si>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</si>
  <si>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</si>
  <si>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</si>
  <si>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</si>
  <si>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</si>
  <si>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</si>
  <si>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</si>
  <si>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Tamworth</t>
  </si>
  <si>
    <t>2003</t>
  </si>
  <si>
    <t>08/23</t>
  </si>
  <si>
    <t>Fund Balance Adjustment for FY16 encumbrances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</si>
</sst>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20" zoomScaleNormal="12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J469" sqref="J4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525</v>
      </c>
      <c r="C2" s="21">
        <v>525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90959.19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2081.56</v>
      </c>
      <c r="G10" s="18"/>
      <c r="H10" s="18"/>
      <c r="I10" s="18"/>
      <c r="J10" s="67">
        <f>SUM(I440)</f>
        <v>250682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f>22042.77+16802.57</f>
        <v>38845.339999999997</v>
      </c>
      <c r="G12" s="18"/>
      <c r="H12" s="18">
        <v>-7646.93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7706.74</v>
      </c>
      <c r="G13" s="18"/>
      <c r="H13" s="18">
        <v>36356.82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2615.35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30000</v>
      </c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172208.18</v>
      </c>
      <c r="G19" s="41">
        <f>SUM(G9:G18)</f>
        <v>0</v>
      </c>
      <c r="H19" s="41">
        <f>SUM(H9:H18)</f>
        <v>28709.89</v>
      </c>
      <c r="I19" s="41">
        <f>SUM(I9:I18)</f>
        <v>0</v>
      </c>
      <c r="J19" s="41">
        <f>SUM(J9:J18)</f>
        <v>250682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v>26508.09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20848.740000000002</v>
      </c>
      <c r="G24" s="18"/>
      <c r="H24" s="18">
        <v>2201.8000000000002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20848.740000000002</v>
      </c>
      <c r="G32" s="41">
        <f>SUM(G22:G31)</f>
        <v>0</v>
      </c>
      <c r="H32" s="41">
        <f>SUM(H22:H31)</f>
        <v>28709.89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30000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250682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121359.44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151359.44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250682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172208.18</v>
      </c>
      <c r="G52" s="41">
        <f>G51+G32</f>
        <v>0</v>
      </c>
      <c r="H52" s="41">
        <f>H51+H32</f>
        <v>28709.89</v>
      </c>
      <c r="I52" s="41">
        <f>I51+I32</f>
        <v>0</v>
      </c>
      <c r="J52" s="41">
        <f>J51+J32</f>
        <v>250682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4574350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4574350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875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875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232.75</v>
      </c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21078.6+1854.16</f>
        <v>22932.76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32282.47+69516.2</f>
        <v>101798.67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102031.42</v>
      </c>
      <c r="G111" s="41">
        <f>SUM(G96:G110)</f>
        <v>22932.76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4677256.42</v>
      </c>
      <c r="G112" s="41">
        <f>G60+G111</f>
        <v>22932.76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777172.32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752804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996.25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1530972.5699999998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49083.34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49083.34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1580055.91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10971.02+124612.59+11525.5</f>
        <v>147109.10999999999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2450.4+16145.65+5204</f>
        <v>23800.05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55938.89+118.56+12032.1</f>
        <v>68089.55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65272.67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>
        <v>6556.35</v>
      </c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65272.67</v>
      </c>
      <c r="G162" s="41">
        <f>SUM(G150:G161)</f>
        <v>74645.900000000009</v>
      </c>
      <c r="H162" s="41">
        <f>SUM(H150:H161)</f>
        <v>170909.15999999997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114.76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65387.43</v>
      </c>
      <c r="G169" s="41">
        <f>G147+G162+SUM(G163:G168)</f>
        <v>74645.900000000009</v>
      </c>
      <c r="H169" s="41">
        <f>H147+H162+SUM(H163:H168)</f>
        <v>170909.15999999997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27656.83</v>
      </c>
      <c r="H179" s="18"/>
      <c r="I179" s="18"/>
      <c r="J179" s="18">
        <v>30000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27656.83</v>
      </c>
      <c r="H183" s="41">
        <f>SUM(H179:H182)</f>
        <v>0</v>
      </c>
      <c r="I183" s="41">
        <f>SUM(I179:I182)</f>
        <v>0</v>
      </c>
      <c r="J183" s="41">
        <f>SUM(J179:J182)</f>
        <v>30000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27656.83</v>
      </c>
      <c r="H192" s="41">
        <f>+H183+SUM(H188:H191)</f>
        <v>0</v>
      </c>
      <c r="I192" s="41">
        <f>I177+I183+SUM(I188:I191)</f>
        <v>0</v>
      </c>
      <c r="J192" s="41">
        <f>J183</f>
        <v>30000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6322699.7599999998</v>
      </c>
      <c r="G193" s="47">
        <f>G112+G140+G169+G192</f>
        <v>125235.49</v>
      </c>
      <c r="H193" s="47">
        <f>H112+H140+H169+H192</f>
        <v>170909.15999999997</v>
      </c>
      <c r="I193" s="47">
        <f>I112+I140+I169+I192</f>
        <v>0</v>
      </c>
      <c r="J193" s="47">
        <f>J112+J140+J192</f>
        <v>30000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1401089.6</v>
      </c>
      <c r="G197" s="18">
        <v>715966.73</v>
      </c>
      <c r="H197" s="18">
        <v>7291.09</v>
      </c>
      <c r="I197" s="18">
        <v>41789.57</v>
      </c>
      <c r="J197" s="18">
        <v>69141.45</v>
      </c>
      <c r="K197" s="18">
        <v>354</v>
      </c>
      <c r="L197" s="19">
        <f>SUM(F197:K197)</f>
        <v>2235632.44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493366.49</v>
      </c>
      <c r="G198" s="18">
        <v>316424.73</v>
      </c>
      <c r="H198" s="18">
        <f>2319.83+83512.5+21029.93</f>
        <v>106862.26000000001</v>
      </c>
      <c r="I198" s="18">
        <v>591.19000000000005</v>
      </c>
      <c r="J198" s="18"/>
      <c r="K198" s="18"/>
      <c r="L198" s="19">
        <f>SUM(F198:K198)</f>
        <v>917244.66999999993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5130</v>
      </c>
      <c r="G200" s="18">
        <v>619.67999999999995</v>
      </c>
      <c r="H200" s="18">
        <v>7700</v>
      </c>
      <c r="I200" s="18">
        <v>2039.77</v>
      </c>
      <c r="J200" s="18"/>
      <c r="K200" s="18"/>
      <c r="L200" s="19">
        <f>SUM(F200:K200)</f>
        <v>15489.45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267366.5</v>
      </c>
      <c r="G202" s="18">
        <v>130803.9</v>
      </c>
      <c r="H202" s="18">
        <f>13160.35+379.43</f>
        <v>13539.78</v>
      </c>
      <c r="I202" s="18">
        <v>1867.03</v>
      </c>
      <c r="J202" s="18">
        <v>285.17</v>
      </c>
      <c r="K202" s="18"/>
      <c r="L202" s="19">
        <f t="shared" ref="L202:L208" si="0">SUM(F202:K202)</f>
        <v>413862.38000000006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82896.08</v>
      </c>
      <c r="G203" s="18">
        <v>22633.14</v>
      </c>
      <c r="H203" s="18">
        <f>28441.57+4737.68</f>
        <v>33179.25</v>
      </c>
      <c r="I203" s="18">
        <v>3786.47</v>
      </c>
      <c r="J203" s="18"/>
      <c r="K203" s="18"/>
      <c r="L203" s="19">
        <f t="shared" si="0"/>
        <v>142494.94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3250</v>
      </c>
      <c r="G204" s="18">
        <v>248.63</v>
      </c>
      <c r="H204" s="18">
        <f>288780.63+4748.67</f>
        <v>293529.3</v>
      </c>
      <c r="I204" s="18">
        <v>281.08999999999997</v>
      </c>
      <c r="J204" s="18"/>
      <c r="K204" s="18">
        <v>3216.39</v>
      </c>
      <c r="L204" s="19">
        <f t="shared" si="0"/>
        <v>300525.41000000003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141459.87</v>
      </c>
      <c r="G205" s="18">
        <v>81864.47</v>
      </c>
      <c r="H205" s="18">
        <f>4066.95+2569.2</f>
        <v>6636.15</v>
      </c>
      <c r="I205" s="18">
        <v>1929.84</v>
      </c>
      <c r="J205" s="18"/>
      <c r="K205" s="18">
        <v>1474.8</v>
      </c>
      <c r="L205" s="19">
        <f t="shared" si="0"/>
        <v>233365.12999999998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125109.95</v>
      </c>
      <c r="G207" s="18">
        <v>77189.740000000005</v>
      </c>
      <c r="H207" s="18">
        <f>74378.41+17300.27</f>
        <v>91678.680000000008</v>
      </c>
      <c r="I207" s="18">
        <v>91569.55</v>
      </c>
      <c r="J207" s="18">
        <f>39168.15</f>
        <v>39168.15</v>
      </c>
      <c r="K207" s="18"/>
      <c r="L207" s="19">
        <f t="shared" si="0"/>
        <v>424716.07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30753.61+192778.19</f>
        <v>223531.8</v>
      </c>
      <c r="I208" s="18"/>
      <c r="J208" s="18"/>
      <c r="K208" s="18"/>
      <c r="L208" s="19">
        <f t="shared" si="0"/>
        <v>223531.8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2519668.4900000002</v>
      </c>
      <c r="G211" s="41">
        <f t="shared" si="1"/>
        <v>1345751.0199999998</v>
      </c>
      <c r="H211" s="41">
        <f t="shared" si="1"/>
        <v>783948.31</v>
      </c>
      <c r="I211" s="41">
        <f t="shared" si="1"/>
        <v>143854.51</v>
      </c>
      <c r="J211" s="41">
        <f t="shared" si="1"/>
        <v>108594.76999999999</v>
      </c>
      <c r="K211" s="41">
        <f t="shared" si="1"/>
        <v>5045.1899999999996</v>
      </c>
      <c r="L211" s="41">
        <f t="shared" si="1"/>
        <v>4906862.29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1133880</v>
      </c>
      <c r="I233" s="18"/>
      <c r="J233" s="18"/>
      <c r="K233" s="18"/>
      <c r="L233" s="19">
        <f>SUM(F233:K233)</f>
        <v>1133880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f>558+690.47</f>
        <v>1248.47</v>
      </c>
      <c r="I234" s="18"/>
      <c r="J234" s="18"/>
      <c r="K234" s="18"/>
      <c r="L234" s="19">
        <f>SUM(F234:K234)</f>
        <v>1248.47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81269.240000000005</v>
      </c>
      <c r="I244" s="18"/>
      <c r="J244" s="18"/>
      <c r="K244" s="18"/>
      <c r="L244" s="19">
        <f t="shared" si="4"/>
        <v>81269.240000000005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1216397.71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1216397.71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2519668.4900000002</v>
      </c>
      <c r="G257" s="41">
        <f t="shared" si="8"/>
        <v>1345751.0199999998</v>
      </c>
      <c r="H257" s="41">
        <f t="shared" si="8"/>
        <v>2000346.02</v>
      </c>
      <c r="I257" s="41">
        <f t="shared" si="8"/>
        <v>143854.51</v>
      </c>
      <c r="J257" s="41">
        <f t="shared" si="8"/>
        <v>108594.76999999999</v>
      </c>
      <c r="K257" s="41">
        <f t="shared" si="8"/>
        <v>5045.1899999999996</v>
      </c>
      <c r="L257" s="41">
        <f t="shared" si="8"/>
        <v>6123260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164102.56</v>
      </c>
      <c r="L260" s="19">
        <f>SUM(F260:K260)</f>
        <v>164102.56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50118.41</v>
      </c>
      <c r="L261" s="19">
        <f>SUM(F261:K261)</f>
        <v>50118.41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27656.83</v>
      </c>
      <c r="L263" s="19">
        <f>SUM(F263:K263)</f>
        <v>27656.83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30000</v>
      </c>
      <c r="L266" s="19">
        <f t="shared" si="9"/>
        <v>30000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271877.8</v>
      </c>
      <c r="L270" s="41">
        <f t="shared" si="9"/>
        <v>271877.8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2519668.4900000002</v>
      </c>
      <c r="G271" s="42">
        <f t="shared" si="11"/>
        <v>1345751.0199999998</v>
      </c>
      <c r="H271" s="42">
        <f t="shared" si="11"/>
        <v>2000346.02</v>
      </c>
      <c r="I271" s="42">
        <f t="shared" si="11"/>
        <v>143854.51</v>
      </c>
      <c r="J271" s="42">
        <f t="shared" si="11"/>
        <v>108594.76999999999</v>
      </c>
      <c r="K271" s="42">
        <f t="shared" si="11"/>
        <v>276922.99</v>
      </c>
      <c r="L271" s="42">
        <f t="shared" si="11"/>
        <v>6395137.7999999998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77739.19</v>
      </c>
      <c r="G276" s="18">
        <v>29897.73</v>
      </c>
      <c r="H276" s="18">
        <f>1223.65+448</f>
        <v>1671.65</v>
      </c>
      <c r="I276" s="18">
        <v>8268.9500000000007</v>
      </c>
      <c r="J276" s="18">
        <v>5204</v>
      </c>
      <c r="K276" s="18"/>
      <c r="L276" s="19">
        <f>SUM(F276:K276)</f>
        <v>122781.51999999999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>
        <v>2593.85</v>
      </c>
      <c r="J277" s="18"/>
      <c r="K277" s="18"/>
      <c r="L277" s="19">
        <f>SUM(F277:K277)</f>
        <v>2593.85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>
        <v>2718.76</v>
      </c>
      <c r="J281" s="18"/>
      <c r="K281" s="18"/>
      <c r="L281" s="19">
        <f t="shared" ref="L281:L287" si="12">SUM(F281:K281)</f>
        <v>2718.76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8900</v>
      </c>
      <c r="G282" s="18">
        <v>1689.78</v>
      </c>
      <c r="H282" s="18">
        <f>10304+5644.98</f>
        <v>15948.98</v>
      </c>
      <c r="I282" s="18">
        <v>364</v>
      </c>
      <c r="J282" s="18"/>
      <c r="K282" s="18"/>
      <c r="L282" s="19">
        <f t="shared" si="12"/>
        <v>26902.760000000002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4787.2700000000004</v>
      </c>
      <c r="L285" s="19">
        <f t="shared" si="12"/>
        <v>4787.2700000000004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11125</v>
      </c>
      <c r="I287" s="18"/>
      <c r="J287" s="18"/>
      <c r="K287" s="18"/>
      <c r="L287" s="19">
        <f t="shared" si="12"/>
        <v>11125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86639.19</v>
      </c>
      <c r="G290" s="42">
        <f t="shared" si="13"/>
        <v>31587.51</v>
      </c>
      <c r="H290" s="42">
        <f t="shared" si="13"/>
        <v>28745.63</v>
      </c>
      <c r="I290" s="42">
        <f t="shared" si="13"/>
        <v>13945.560000000001</v>
      </c>
      <c r="J290" s="42">
        <f t="shared" si="13"/>
        <v>5204</v>
      </c>
      <c r="K290" s="42">
        <f t="shared" si="13"/>
        <v>4787.2700000000004</v>
      </c>
      <c r="L290" s="41">
        <f t="shared" si="13"/>
        <v>170909.15999999997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86639.19</v>
      </c>
      <c r="G338" s="41">
        <f t="shared" si="20"/>
        <v>31587.51</v>
      </c>
      <c r="H338" s="41">
        <f t="shared" si="20"/>
        <v>28745.63</v>
      </c>
      <c r="I338" s="41">
        <f t="shared" si="20"/>
        <v>13945.560000000001</v>
      </c>
      <c r="J338" s="41">
        <f t="shared" si="20"/>
        <v>5204</v>
      </c>
      <c r="K338" s="41">
        <f t="shared" si="20"/>
        <v>4787.2700000000004</v>
      </c>
      <c r="L338" s="41">
        <f t="shared" si="20"/>
        <v>170909.15999999997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86639.19</v>
      </c>
      <c r="G352" s="41">
        <f>G338</f>
        <v>31587.51</v>
      </c>
      <c r="H352" s="41">
        <f>H338</f>
        <v>28745.63</v>
      </c>
      <c r="I352" s="41">
        <f>I338</f>
        <v>13945.560000000001</v>
      </c>
      <c r="J352" s="41">
        <f>J338</f>
        <v>5204</v>
      </c>
      <c r="K352" s="47">
        <f>K338+K351</f>
        <v>4787.2700000000004</v>
      </c>
      <c r="L352" s="41">
        <f>L338+L351</f>
        <v>170909.15999999997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37896.78+2569.37+977.83</f>
        <v>41443.980000000003</v>
      </c>
      <c r="G358" s="18">
        <f>2935.38+86.78+148.3+192.1+1037.75</f>
        <v>4400.3100000000004</v>
      </c>
      <c r="H358" s="18">
        <f>3777.02+391.9+22840.75</f>
        <v>27009.67</v>
      </c>
      <c r="I358" s="18">
        <f>2506.67+325.72+474.75+31422.84+8988.81+6556.35+368.4</f>
        <v>50643.54</v>
      </c>
      <c r="J358" s="18">
        <v>1737.99</v>
      </c>
      <c r="K358" s="18"/>
      <c r="L358" s="13">
        <f>SUM(F358:K358)</f>
        <v>125235.49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41443.980000000003</v>
      </c>
      <c r="G362" s="47">
        <f t="shared" si="22"/>
        <v>4400.3100000000004</v>
      </c>
      <c r="H362" s="47">
        <f t="shared" si="22"/>
        <v>27009.67</v>
      </c>
      <c r="I362" s="47">
        <f t="shared" si="22"/>
        <v>50643.54</v>
      </c>
      <c r="J362" s="47">
        <f t="shared" si="22"/>
        <v>1737.99</v>
      </c>
      <c r="K362" s="47">
        <f t="shared" si="22"/>
        <v>0</v>
      </c>
      <c r="L362" s="47">
        <f t="shared" si="22"/>
        <v>125235.49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46968</v>
      </c>
      <c r="G367" s="18"/>
      <c r="H367" s="18"/>
      <c r="I367" s="56">
        <f>SUM(F367:H367)</f>
        <v>46968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2506.67+474.75+325.72+368.4</f>
        <v>3675.5400000000004</v>
      </c>
      <c r="G368" s="63"/>
      <c r="H368" s="63"/>
      <c r="I368" s="56">
        <f>SUM(F368:H368)</f>
        <v>3675.5400000000004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50643.54</v>
      </c>
      <c r="G369" s="47">
        <f>SUM(G367:G368)</f>
        <v>0</v>
      </c>
      <c r="H369" s="47">
        <f>SUM(H367:H368)</f>
        <v>0</v>
      </c>
      <c r="I369" s="47">
        <f>SUM(I367:I368)</f>
        <v>50643.54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30000</v>
      </c>
      <c r="H396" s="18"/>
      <c r="I396" s="18"/>
      <c r="J396" s="24" t="s">
        <v>288</v>
      </c>
      <c r="K396" s="24" t="s">
        <v>288</v>
      </c>
      <c r="L396" s="56">
        <f t="shared" si="26"/>
        <v>30000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30000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30000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30000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30000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250682</v>
      </c>
      <c r="H440" s="18"/>
      <c r="I440" s="56">
        <f t="shared" si="33"/>
        <v>250682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250682</v>
      </c>
      <c r="H446" s="13">
        <f>SUM(H439:H445)</f>
        <v>0</v>
      </c>
      <c r="I446" s="13">
        <f>SUM(I439:I445)</f>
        <v>250682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250682</v>
      </c>
      <c r="H459" s="18"/>
      <c r="I459" s="56">
        <f t="shared" si="34"/>
        <v>250682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250682</v>
      </c>
      <c r="H460" s="83">
        <f>SUM(H454:H459)</f>
        <v>0</v>
      </c>
      <c r="I460" s="83">
        <f>SUM(I454:I459)</f>
        <v>250682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250682</v>
      </c>
      <c r="H461" s="42">
        <f>H452+H460</f>
        <v>0</v>
      </c>
      <c r="I461" s="42">
        <f>I452+I460</f>
        <v>250682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f>458274-220682</f>
        <v>237592</v>
      </c>
      <c r="G465" s="18"/>
      <c r="H465" s="18"/>
      <c r="I465" s="18"/>
      <c r="J465" s="18">
        <v>220682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6322699.7599999998</v>
      </c>
      <c r="G468" s="18">
        <v>125235.49</v>
      </c>
      <c r="H468" s="18">
        <v>170909.16</v>
      </c>
      <c r="I468" s="18"/>
      <c r="J468" s="18">
        <v>30000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6322699.7599999998</v>
      </c>
      <c r="G470" s="53">
        <f>SUM(G468:G469)</f>
        <v>125235.49</v>
      </c>
      <c r="H470" s="53">
        <f>SUM(H468:H469)</f>
        <v>170909.16</v>
      </c>
      <c r="I470" s="53">
        <f>SUM(I468:I469)</f>
        <v>0</v>
      </c>
      <c r="J470" s="53">
        <f>SUM(J468:J469)</f>
        <v>30000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6425137.8-30000</f>
        <v>6395137.7999999998</v>
      </c>
      <c r="G472" s="18">
        <v>125235.49</v>
      </c>
      <c r="H472" s="18">
        <v>170909.16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v>13794.52</v>
      </c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6408932.3199999994</v>
      </c>
      <c r="G474" s="53">
        <f>SUM(G472:G473)</f>
        <v>125235.49</v>
      </c>
      <c r="H474" s="53">
        <f>SUM(H472:H473)</f>
        <v>170909.16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151359.44000000041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250682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915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3200000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4.87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1066668</v>
      </c>
      <c r="G495" s="18"/>
      <c r="H495" s="18"/>
      <c r="I495" s="18"/>
      <c r="J495" s="18"/>
      <c r="K495" s="53">
        <f>SUM(F495:J495)</f>
        <v>1066668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164102</v>
      </c>
      <c r="G497" s="18"/>
      <c r="H497" s="18"/>
      <c r="I497" s="18"/>
      <c r="J497" s="18"/>
      <c r="K497" s="53">
        <f t="shared" si="35"/>
        <v>164102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902566</v>
      </c>
      <c r="G498" s="204"/>
      <c r="H498" s="204"/>
      <c r="I498" s="204"/>
      <c r="J498" s="204"/>
      <c r="K498" s="205">
        <f t="shared" si="35"/>
        <v>902566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131867</v>
      </c>
      <c r="G499" s="18"/>
      <c r="H499" s="18"/>
      <c r="I499" s="18"/>
      <c r="J499" s="18"/>
      <c r="K499" s="53">
        <f t="shared" si="35"/>
        <v>131867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1034433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1034433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164103</v>
      </c>
      <c r="G501" s="204"/>
      <c r="H501" s="204"/>
      <c r="I501" s="204"/>
      <c r="J501" s="204"/>
      <c r="K501" s="205">
        <f t="shared" si="35"/>
        <v>164103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41957</v>
      </c>
      <c r="G502" s="18"/>
      <c r="H502" s="18"/>
      <c r="I502" s="18"/>
      <c r="J502" s="18"/>
      <c r="K502" s="53">
        <f t="shared" si="35"/>
        <v>41957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206060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206060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>
        <v>52564.800000000003</v>
      </c>
      <c r="G507" s="144">
        <v>5409.48</v>
      </c>
      <c r="H507" s="144">
        <v>3188.38</v>
      </c>
      <c r="I507" s="144">
        <v>54785.9</v>
      </c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493366.49</v>
      </c>
      <c r="G521" s="18">
        <v>316424.73</v>
      </c>
      <c r="H521" s="18">
        <f>83512.5+2319.83+21029.93</f>
        <v>106862.26000000001</v>
      </c>
      <c r="I521" s="18">
        <v>591.19000000000005</v>
      </c>
      <c r="J521" s="18"/>
      <c r="K521" s="18"/>
      <c r="L521" s="88">
        <f>SUM(F521:K521)</f>
        <v>917244.66999999993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f>558+690.47</f>
        <v>1248.47</v>
      </c>
      <c r="I523" s="18"/>
      <c r="J523" s="18"/>
      <c r="K523" s="18"/>
      <c r="L523" s="88">
        <f>SUM(F523:K523)</f>
        <v>1248.47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493366.49</v>
      </c>
      <c r="G524" s="108">
        <f t="shared" ref="G524:L524" si="36">SUM(G521:G523)</f>
        <v>316424.73</v>
      </c>
      <c r="H524" s="108">
        <f t="shared" si="36"/>
        <v>108110.73000000001</v>
      </c>
      <c r="I524" s="108">
        <f t="shared" si="36"/>
        <v>591.19000000000005</v>
      </c>
      <c r="J524" s="108">
        <f t="shared" si="36"/>
        <v>0</v>
      </c>
      <c r="K524" s="108">
        <f t="shared" si="36"/>
        <v>0</v>
      </c>
      <c r="L524" s="89">
        <f t="shared" si="36"/>
        <v>918493.1399999999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34254.47</v>
      </c>
      <c r="G526" s="18">
        <v>11418.24</v>
      </c>
      <c r="H526" s="18">
        <v>19.79</v>
      </c>
      <c r="I526" s="18">
        <v>130.59</v>
      </c>
      <c r="J526" s="18">
        <v>905.7</v>
      </c>
      <c r="K526" s="18">
        <v>418.42</v>
      </c>
      <c r="L526" s="88">
        <f>SUM(F526:K526)</f>
        <v>47147.209999999992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34254.47</v>
      </c>
      <c r="G529" s="89">
        <f t="shared" ref="G529:L529" si="37">SUM(G526:G528)</f>
        <v>11418.24</v>
      </c>
      <c r="H529" s="89">
        <f t="shared" si="37"/>
        <v>19.79</v>
      </c>
      <c r="I529" s="89">
        <f t="shared" si="37"/>
        <v>130.59</v>
      </c>
      <c r="J529" s="89">
        <f t="shared" si="37"/>
        <v>905.7</v>
      </c>
      <c r="K529" s="89">
        <f t="shared" si="37"/>
        <v>418.42</v>
      </c>
      <c r="L529" s="89">
        <f t="shared" si="37"/>
        <v>47147.209999999992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70387.69</v>
      </c>
      <c r="G531" s="18">
        <v>12883.24</v>
      </c>
      <c r="H531" s="18">
        <v>953.1</v>
      </c>
      <c r="I531" s="18">
        <v>35.64</v>
      </c>
      <c r="J531" s="18"/>
      <c r="K531" s="18">
        <v>637.33000000000004</v>
      </c>
      <c r="L531" s="88">
        <f>SUM(F531:K531)</f>
        <v>84897.000000000015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70387.69</v>
      </c>
      <c r="G534" s="89">
        <f t="shared" ref="G534:L534" si="38">SUM(G531:G533)</f>
        <v>12883.24</v>
      </c>
      <c r="H534" s="89">
        <f t="shared" si="38"/>
        <v>953.1</v>
      </c>
      <c r="I534" s="89">
        <f t="shared" si="38"/>
        <v>35.64</v>
      </c>
      <c r="J534" s="89">
        <f t="shared" si="38"/>
        <v>0</v>
      </c>
      <c r="K534" s="89">
        <f t="shared" si="38"/>
        <v>637.33000000000004</v>
      </c>
      <c r="L534" s="89">
        <f t="shared" si="38"/>
        <v>84897.000000000015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30753.61</v>
      </c>
      <c r="I541" s="18"/>
      <c r="J541" s="18"/>
      <c r="K541" s="18"/>
      <c r="L541" s="88">
        <f>SUM(F541:K541)</f>
        <v>30753.61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30753.61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30753.61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598008.64999999991</v>
      </c>
      <c r="G545" s="89">
        <f t="shared" ref="G545:L545" si="41">G524+G529+G534+G539+G544</f>
        <v>340726.20999999996</v>
      </c>
      <c r="H545" s="89">
        <f t="shared" si="41"/>
        <v>139837.23000000001</v>
      </c>
      <c r="I545" s="89">
        <f t="shared" si="41"/>
        <v>757.42000000000007</v>
      </c>
      <c r="J545" s="89">
        <f t="shared" si="41"/>
        <v>905.7</v>
      </c>
      <c r="K545" s="89">
        <f t="shared" si="41"/>
        <v>1055.75</v>
      </c>
      <c r="L545" s="89">
        <f t="shared" si="41"/>
        <v>1081290.96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917244.66999999993</v>
      </c>
      <c r="G549" s="87">
        <f>L526</f>
        <v>47147.209999999992</v>
      </c>
      <c r="H549" s="87">
        <f>L531</f>
        <v>84897.000000000015</v>
      </c>
      <c r="I549" s="87">
        <f>L536</f>
        <v>0</v>
      </c>
      <c r="J549" s="87">
        <f>L541</f>
        <v>30753.61</v>
      </c>
      <c r="K549" s="87">
        <f>SUM(F549:J549)</f>
        <v>1080042.49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1248.47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1248.47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918493.1399999999</v>
      </c>
      <c r="G552" s="89">
        <f t="shared" si="42"/>
        <v>47147.209999999992</v>
      </c>
      <c r="H552" s="89">
        <f t="shared" si="42"/>
        <v>84897.000000000015</v>
      </c>
      <c r="I552" s="89">
        <f t="shared" si="42"/>
        <v>0</v>
      </c>
      <c r="J552" s="89">
        <f t="shared" si="42"/>
        <v>30753.61</v>
      </c>
      <c r="K552" s="89">
        <f t="shared" si="42"/>
        <v>1081290.96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1133880</v>
      </c>
      <c r="I575" s="87">
        <f>SUM(F575:H575)</f>
        <v>1133880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21029.93</v>
      </c>
      <c r="G579" s="18"/>
      <c r="H579" s="18">
        <v>690.47</v>
      </c>
      <c r="I579" s="87">
        <f t="shared" si="47"/>
        <v>21720.400000000001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192778.19-10883.48-5899.95</f>
        <v>175994.75999999998</v>
      </c>
      <c r="I591" s="18"/>
      <c r="J591" s="18">
        <v>81269.240000000005</v>
      </c>
      <c r="K591" s="104">
        <f t="shared" ref="K591:K597" si="48">SUM(H591:J591)</f>
        <v>257264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30753.61</v>
      </c>
      <c r="I592" s="18"/>
      <c r="J592" s="18"/>
      <c r="K592" s="104">
        <f t="shared" si="48"/>
        <v>30753.61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10883.48</v>
      </c>
      <c r="I594" s="18"/>
      <c r="J594" s="18"/>
      <c r="K594" s="104">
        <f t="shared" si="48"/>
        <v>10883.48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5899.95</v>
      </c>
      <c r="I595" s="18"/>
      <c r="J595" s="18"/>
      <c r="K595" s="104">
        <f t="shared" si="48"/>
        <v>5899.95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223531.80000000002</v>
      </c>
      <c r="I598" s="108">
        <f>SUM(I591:I597)</f>
        <v>0</v>
      </c>
      <c r="J598" s="108">
        <f>SUM(J591:J597)</f>
        <v>81269.240000000005</v>
      </c>
      <c r="K598" s="108">
        <f>SUM(K591:K597)</f>
        <v>304801.03999999998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113798.77</f>
        <v>113798.77</v>
      </c>
      <c r="I604" s="18"/>
      <c r="J604" s="18"/>
      <c r="K604" s="104">
        <f>SUM(H604:J604)</f>
        <v>113798.77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113798.77</v>
      </c>
      <c r="I605" s="108">
        <f>SUM(I602:I604)</f>
        <v>0</v>
      </c>
      <c r="J605" s="108">
        <f>SUM(J602:J604)</f>
        <v>0</v>
      </c>
      <c r="K605" s="108">
        <f>SUM(K602:K604)</f>
        <v>113798.77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172208.18</v>
      </c>
      <c r="H617" s="109">
        <f>SUM(F52)</f>
        <v>172208.18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28709.89</v>
      </c>
      <c r="H619" s="109">
        <f>SUM(H52)</f>
        <v>28709.89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250682</v>
      </c>
      <c r="H621" s="109">
        <f>SUM(J52)</f>
        <v>250682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151359.44</v>
      </c>
      <c r="H622" s="109">
        <f>F476</f>
        <v>151359.44000000041</v>
      </c>
      <c r="I622" s="121" t="s">
        <v>101</v>
      </c>
      <c r="J622" s="109">
        <f t="shared" ref="J622:J655" si="50">G622-H622</f>
        <v>-4.0745362639427185E-10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250682</v>
      </c>
      <c r="H626" s="109">
        <f>J476</f>
        <v>250682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6322699.7599999998</v>
      </c>
      <c r="H627" s="104">
        <f>SUM(F468)</f>
        <v>6322699.7599999998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125235.49</v>
      </c>
      <c r="H628" s="104">
        <f>SUM(G468)</f>
        <v>125235.49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170909.15999999997</v>
      </c>
      <c r="H629" s="104">
        <f>SUM(H468)</f>
        <v>170909.16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30000</v>
      </c>
      <c r="H631" s="104">
        <f>SUM(J468)</f>
        <v>30000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6395137.7999999998</v>
      </c>
      <c r="H632" s="104">
        <f>SUM(F472)</f>
        <v>6395137.7999999998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170909.15999999997</v>
      </c>
      <c r="H633" s="104">
        <f>SUM(H472)</f>
        <v>170909.16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50643.54</v>
      </c>
      <c r="H634" s="104">
        <f>I369</f>
        <v>50643.54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125235.49</v>
      </c>
      <c r="H635" s="104">
        <f>SUM(G472)</f>
        <v>125235.49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30000</v>
      </c>
      <c r="H637" s="164">
        <f>SUM(J468)</f>
        <v>30000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250682</v>
      </c>
      <c r="H640" s="104">
        <f>SUM(G461)</f>
        <v>250682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250682</v>
      </c>
      <c r="H642" s="104">
        <f>SUM(I461)</f>
        <v>250682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30000</v>
      </c>
      <c r="H645" s="104">
        <f>G408</f>
        <v>30000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30000</v>
      </c>
      <c r="H646" s="104">
        <f>L408</f>
        <v>30000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304801.03999999998</v>
      </c>
      <c r="H647" s="104">
        <f>L208+L226+L244</f>
        <v>304801.03999999998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113798.77</v>
      </c>
      <c r="H648" s="104">
        <f>(J257+J338)-(J255+J336)</f>
        <v>113798.76999999999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223531.8</v>
      </c>
      <c r="H649" s="104">
        <f>H598</f>
        <v>223531.80000000002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81269.240000000005</v>
      </c>
      <c r="H651" s="104">
        <f>J598</f>
        <v>81269.240000000005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27656.83</v>
      </c>
      <c r="H652" s="104">
        <f>K263+K345</f>
        <v>27656.83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30000</v>
      </c>
      <c r="H655" s="104">
        <f>K266+K347</f>
        <v>30000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5203006.9400000004</v>
      </c>
      <c r="G660" s="19">
        <f>(L229+L309+L359)</f>
        <v>0</v>
      </c>
      <c r="H660" s="19">
        <f>(L247+L328+L360)</f>
        <v>1216397.71</v>
      </c>
      <c r="I660" s="19">
        <f>SUM(F660:H660)</f>
        <v>6419404.6500000004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22932.76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22932.76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234656.8</v>
      </c>
      <c r="G662" s="19">
        <f>(L226+L306)-(J226+J306)</f>
        <v>0</v>
      </c>
      <c r="H662" s="19">
        <f>(L244+L325)-(J244+J325)</f>
        <v>81269.240000000005</v>
      </c>
      <c r="I662" s="19">
        <f>SUM(F662:H662)</f>
        <v>315926.03999999998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134828.70000000001</v>
      </c>
      <c r="G663" s="199">
        <f>SUM(G575:G587)+SUM(I602:I604)+L612</f>
        <v>0</v>
      </c>
      <c r="H663" s="199">
        <f>SUM(H575:H587)+SUM(J602:J604)+L613</f>
        <v>1134570.47</v>
      </c>
      <c r="I663" s="19">
        <f>SUM(F663:H663)</f>
        <v>1269399.17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4810588.6800000006</v>
      </c>
      <c r="G664" s="19">
        <f>G660-SUM(G661:G663)</f>
        <v>0</v>
      </c>
      <c r="H664" s="19">
        <f>H660-SUM(H661:H663)</f>
        <v>558</v>
      </c>
      <c r="I664" s="19">
        <f>I660-SUM(I661:I663)</f>
        <v>4811146.6800000006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204.93</v>
      </c>
      <c r="G665" s="248"/>
      <c r="H665" s="248"/>
      <c r="I665" s="19">
        <f>SUM(F665:H665)</f>
        <v>204.93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23474.3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23477.02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-558</v>
      </c>
      <c r="I669" s="19">
        <f>SUM(F669:H669)</f>
        <v>-558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23474.3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23474.3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16383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Tamworth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1478828.79</v>
      </c>
      <c r="C9" s="229">
        <f>'DOE25'!G197+'DOE25'!G215+'DOE25'!G233+'DOE25'!G276+'DOE25'!G295+'DOE25'!G314</f>
        <v>745864.46</v>
      </c>
    </row>
    <row r="10" spans="1:3" x14ac:dyDescent="0.2">
      <c r="A10" t="s">
        <v>778</v>
      </c>
      <c r="B10" s="240">
        <v>1478828.79</v>
      </c>
      <c r="C10" s="240">
        <v>745864.46</v>
      </c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1478828.79</v>
      </c>
      <c r="C13" s="231">
        <f>SUM(C10:C12)</f>
        <v>745864.46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493366.49</v>
      </c>
      <c r="C18" s="229">
        <f>'DOE25'!G198+'DOE25'!G216+'DOE25'!G234+'DOE25'!G277+'DOE25'!G296+'DOE25'!G315</f>
        <v>316424.73</v>
      </c>
    </row>
    <row r="19" spans="1:3" x14ac:dyDescent="0.2">
      <c r="A19" t="s">
        <v>778</v>
      </c>
      <c r="B19" s="240">
        <v>217408</v>
      </c>
      <c r="C19" s="240">
        <v>105662.87</v>
      </c>
    </row>
    <row r="20" spans="1:3" x14ac:dyDescent="0.2">
      <c r="A20" t="s">
        <v>779</v>
      </c>
      <c r="B20" s="240">
        <v>275958.49</v>
      </c>
      <c r="C20" s="240">
        <v>210761.86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493366.49</v>
      </c>
      <c r="C22" s="231">
        <f>SUM(C19:C21)</f>
        <v>316424.73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5130</v>
      </c>
      <c r="C36" s="235">
        <f>'DOE25'!G200+'DOE25'!G218+'DOE25'!G236+'DOE25'!G279+'DOE25'!G298+'DOE25'!G317</f>
        <v>619.67999999999995</v>
      </c>
    </row>
    <row r="37" spans="1:3" x14ac:dyDescent="0.2">
      <c r="A37" t="s">
        <v>778</v>
      </c>
      <c r="B37" s="240">
        <v>5130</v>
      </c>
      <c r="C37" s="240">
        <v>619.67999999999995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5130</v>
      </c>
      <c r="C40" s="231">
        <f>SUM(C37:C39)</f>
        <v>619.67999999999995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Tamworth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4303495.03</v>
      </c>
      <c r="D5" s="20">
        <f>SUM('DOE25'!L197:L200)+SUM('DOE25'!L215:L218)+SUM('DOE25'!L233:L236)-F5-G5</f>
        <v>4233999.58</v>
      </c>
      <c r="E5" s="243"/>
      <c r="F5" s="255">
        <f>SUM('DOE25'!J197:J200)+SUM('DOE25'!J215:J218)+SUM('DOE25'!J233:J236)</f>
        <v>69141.45</v>
      </c>
      <c r="G5" s="53">
        <f>SUM('DOE25'!K197:K200)+SUM('DOE25'!K215:K218)+SUM('DOE25'!K233:K236)</f>
        <v>354</v>
      </c>
      <c r="H5" s="259"/>
    </row>
    <row r="6" spans="1:9" x14ac:dyDescent="0.2">
      <c r="A6" s="32">
        <v>2100</v>
      </c>
      <c r="B6" t="s">
        <v>800</v>
      </c>
      <c r="C6" s="245">
        <f t="shared" si="0"/>
        <v>413862.38000000006</v>
      </c>
      <c r="D6" s="20">
        <f>'DOE25'!L202+'DOE25'!L220+'DOE25'!L238-F6-G6</f>
        <v>413577.21000000008</v>
      </c>
      <c r="E6" s="243"/>
      <c r="F6" s="255">
        <f>'DOE25'!J202+'DOE25'!J220+'DOE25'!J238</f>
        <v>285.17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142494.94</v>
      </c>
      <c r="D7" s="20">
        <f>'DOE25'!L203+'DOE25'!L221+'DOE25'!L239-F7-G7</f>
        <v>142494.94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195196.19000000006</v>
      </c>
      <c r="D8" s="243"/>
      <c r="E8" s="20">
        <f>'DOE25'!L204+'DOE25'!L222+'DOE25'!L240-F8-G8-D9-D11</f>
        <v>191979.80000000005</v>
      </c>
      <c r="F8" s="255">
        <f>'DOE25'!J204+'DOE25'!J222+'DOE25'!J240</f>
        <v>0</v>
      </c>
      <c r="G8" s="53">
        <f>'DOE25'!K204+'DOE25'!K222+'DOE25'!K240</f>
        <v>3216.39</v>
      </c>
      <c r="H8" s="259"/>
    </row>
    <row r="9" spans="1:9" x14ac:dyDescent="0.2">
      <c r="A9" s="32">
        <v>2310</v>
      </c>
      <c r="B9" t="s">
        <v>817</v>
      </c>
      <c r="C9" s="245">
        <f t="shared" si="0"/>
        <v>16905.41</v>
      </c>
      <c r="D9" s="244">
        <v>16905.41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9000</v>
      </c>
      <c r="D10" s="243"/>
      <c r="E10" s="244">
        <v>9000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88423.81</v>
      </c>
      <c r="D11" s="244">
        <v>88423.81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233365.12999999998</v>
      </c>
      <c r="D12" s="20">
        <f>'DOE25'!L205+'DOE25'!L223+'DOE25'!L241-F12-G12</f>
        <v>231890.33</v>
      </c>
      <c r="E12" s="243"/>
      <c r="F12" s="255">
        <f>'DOE25'!J205+'DOE25'!J223+'DOE25'!J241</f>
        <v>0</v>
      </c>
      <c r="G12" s="53">
        <f>'DOE25'!K205+'DOE25'!K223+'DOE25'!K241</f>
        <v>1474.8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424716.07</v>
      </c>
      <c r="D14" s="20">
        <f>'DOE25'!L207+'DOE25'!L225+'DOE25'!L243-F14-G14</f>
        <v>385547.92</v>
      </c>
      <c r="E14" s="243"/>
      <c r="F14" s="255">
        <f>'DOE25'!J207+'DOE25'!J225+'DOE25'!J243</f>
        <v>39168.15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304801.03999999998</v>
      </c>
      <c r="D15" s="20">
        <f>'DOE25'!L208+'DOE25'!L226+'DOE25'!L244-F15-G15</f>
        <v>304801.03999999998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214220.97</v>
      </c>
      <c r="D25" s="243"/>
      <c r="E25" s="243"/>
      <c r="F25" s="258"/>
      <c r="G25" s="256"/>
      <c r="H25" s="257">
        <f>'DOE25'!L260+'DOE25'!L261+'DOE25'!L341+'DOE25'!L342</f>
        <v>214220.97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78267.490000000005</v>
      </c>
      <c r="D29" s="20">
        <f>'DOE25'!L358+'DOE25'!L359+'DOE25'!L360-'DOE25'!I367-F29-G29</f>
        <v>76529.5</v>
      </c>
      <c r="E29" s="243"/>
      <c r="F29" s="255">
        <f>'DOE25'!J358+'DOE25'!J359+'DOE25'!J360</f>
        <v>1737.99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170909.15999999997</v>
      </c>
      <c r="D31" s="20">
        <f>'DOE25'!L290+'DOE25'!L309+'DOE25'!L328+'DOE25'!L333+'DOE25'!L334+'DOE25'!L335-F31-G31</f>
        <v>160917.88999999998</v>
      </c>
      <c r="E31" s="243"/>
      <c r="F31" s="255">
        <f>'DOE25'!J290+'DOE25'!J309+'DOE25'!J328+'DOE25'!J333+'DOE25'!J334+'DOE25'!J335</f>
        <v>5204</v>
      </c>
      <c r="G31" s="53">
        <f>'DOE25'!K290+'DOE25'!K309+'DOE25'!K328+'DOE25'!K333+'DOE25'!K334+'DOE25'!K335</f>
        <v>4787.2700000000004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6055087.6299999999</v>
      </c>
      <c r="E33" s="246">
        <f>SUM(E5:E31)</f>
        <v>200979.80000000005</v>
      </c>
      <c r="F33" s="246">
        <f>SUM(F5:F31)</f>
        <v>115536.76</v>
      </c>
      <c r="G33" s="246">
        <f>SUM(G5:G31)</f>
        <v>9832.4599999999991</v>
      </c>
      <c r="H33" s="246">
        <f>SUM(H5:H31)</f>
        <v>214220.97</v>
      </c>
    </row>
    <row r="35" spans="2:8" ht="12" thickBot="1" x14ac:dyDescent="0.25">
      <c r="B35" s="253" t="s">
        <v>846</v>
      </c>
      <c r="D35" s="254">
        <f>E33</f>
        <v>200979.80000000005</v>
      </c>
      <c r="E35" s="249"/>
    </row>
    <row r="36" spans="2:8" ht="12" thickTop="1" x14ac:dyDescent="0.2">
      <c r="B36" t="s">
        <v>814</v>
      </c>
      <c r="D36" s="20">
        <f>D33</f>
        <v>6055087.6299999999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Tamworth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90959.19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2081.56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250682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38845.339999999997</v>
      </c>
      <c r="D11" s="95">
        <f>'DOE25'!G12</f>
        <v>0</v>
      </c>
      <c r="E11" s="95">
        <f>'DOE25'!H12</f>
        <v>-7646.93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7706.74</v>
      </c>
      <c r="D12" s="95">
        <f>'DOE25'!G13</f>
        <v>0</v>
      </c>
      <c r="E12" s="95">
        <f>'DOE25'!H13</f>
        <v>36356.82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2615.35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30000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172208.18</v>
      </c>
      <c r="D18" s="41">
        <f>SUM(D8:D17)</f>
        <v>0</v>
      </c>
      <c r="E18" s="41">
        <f>SUM(E8:E17)</f>
        <v>28709.89</v>
      </c>
      <c r="F18" s="41">
        <f>SUM(F8:F17)</f>
        <v>0</v>
      </c>
      <c r="G18" s="41">
        <f>SUM(G8:G17)</f>
        <v>250682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26508.09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20848.740000000002</v>
      </c>
      <c r="D23" s="95">
        <f>'DOE25'!G24</f>
        <v>0</v>
      </c>
      <c r="E23" s="95">
        <f>'DOE25'!H24</f>
        <v>2201.8000000000002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20848.740000000002</v>
      </c>
      <c r="D31" s="41">
        <f>SUM(D21:D30)</f>
        <v>0</v>
      </c>
      <c r="E31" s="41">
        <f>SUM(E21:E30)</f>
        <v>28709.89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30000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250682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121359.44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151359.44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250682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172208.18</v>
      </c>
      <c r="D51" s="41">
        <f>D50+D31</f>
        <v>0</v>
      </c>
      <c r="E51" s="41">
        <f>E50+E31</f>
        <v>28709.89</v>
      </c>
      <c r="F51" s="41">
        <f>F50+F31</f>
        <v>0</v>
      </c>
      <c r="G51" s="41">
        <f>G50+G31</f>
        <v>250682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4574350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875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232.75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22932.76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101798.67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102906.42</v>
      </c>
      <c r="D62" s="130">
        <f>SUM(D57:D61)</f>
        <v>22932.76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4677256.42</v>
      </c>
      <c r="D63" s="22">
        <f>D56+D62</f>
        <v>22932.76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777172.32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752804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996.25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1530972.5699999998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49083.34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49083.34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1580055.91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65272.67</v>
      </c>
      <c r="D88" s="95">
        <f>SUM('DOE25'!G153:G161)</f>
        <v>74645.900000000009</v>
      </c>
      <c r="E88" s="95">
        <f>SUM('DOE25'!H153:H161)</f>
        <v>170909.15999999997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114.76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65387.43</v>
      </c>
      <c r="D91" s="131">
        <f>SUM(D85:D90)</f>
        <v>74645.900000000009</v>
      </c>
      <c r="E91" s="131">
        <f>SUM(E85:E90)</f>
        <v>170909.15999999997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27656.83</v>
      </c>
      <c r="E96" s="95">
        <f>'DOE25'!H179</f>
        <v>0</v>
      </c>
      <c r="F96" s="95">
        <f>'DOE25'!I179</f>
        <v>0</v>
      </c>
      <c r="G96" s="95">
        <f>'DOE25'!J179</f>
        <v>30000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27656.83</v>
      </c>
      <c r="E103" s="86">
        <f>SUM(E93:E102)</f>
        <v>0</v>
      </c>
      <c r="F103" s="86">
        <f>SUM(F93:F102)</f>
        <v>0</v>
      </c>
      <c r="G103" s="86">
        <f>SUM(G93:G102)</f>
        <v>30000</v>
      </c>
    </row>
    <row r="104" spans="1:7" ht="12.75" thickTop="1" thickBot="1" x14ac:dyDescent="0.25">
      <c r="A104" s="33" t="s">
        <v>764</v>
      </c>
      <c r="C104" s="86">
        <f>C63+C81+C91+C103</f>
        <v>6322699.7599999998</v>
      </c>
      <c r="D104" s="86">
        <f>D63+D81+D91+D103</f>
        <v>125235.49</v>
      </c>
      <c r="E104" s="86">
        <f>E63+E81+E91+E103</f>
        <v>170909.15999999997</v>
      </c>
      <c r="F104" s="86">
        <f>F63+F81+F91+F103</f>
        <v>0</v>
      </c>
      <c r="G104" s="86">
        <f>G63+G81+G103</f>
        <v>30000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3369512.44</v>
      </c>
      <c r="D109" s="24" t="s">
        <v>288</v>
      </c>
      <c r="E109" s="95">
        <f>('DOE25'!L276)+('DOE25'!L295)+('DOE25'!L314)</f>
        <v>122781.51999999999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918493.1399999999</v>
      </c>
      <c r="D110" s="24" t="s">
        <v>288</v>
      </c>
      <c r="E110" s="95">
        <f>('DOE25'!L277)+('DOE25'!L296)+('DOE25'!L315)</f>
        <v>2593.85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15489.45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4303495.03</v>
      </c>
      <c r="D115" s="86">
        <f>SUM(D109:D114)</f>
        <v>0</v>
      </c>
      <c r="E115" s="86">
        <f>SUM(E109:E114)</f>
        <v>125375.37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413862.38000000006</v>
      </c>
      <c r="D118" s="24" t="s">
        <v>288</v>
      </c>
      <c r="E118" s="95">
        <f>+('DOE25'!L281)+('DOE25'!L300)+('DOE25'!L319)</f>
        <v>2718.76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142494.94</v>
      </c>
      <c r="D119" s="24" t="s">
        <v>288</v>
      </c>
      <c r="E119" s="95">
        <f>+('DOE25'!L282)+('DOE25'!L301)+('DOE25'!L320)</f>
        <v>26902.760000000002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300525.41000000003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233365.12999999998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4787.2700000000004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424716.07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304801.03999999998</v>
      </c>
      <c r="D124" s="24" t="s">
        <v>288</v>
      </c>
      <c r="E124" s="95">
        <f>+('DOE25'!L287)+('DOE25'!L306)+('DOE25'!L325)</f>
        <v>11125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125235.49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1819764.9700000002</v>
      </c>
      <c r="D128" s="86">
        <f>SUM(D118:D127)</f>
        <v>125235.49</v>
      </c>
      <c r="E128" s="86">
        <f>SUM(E118:E127)</f>
        <v>45533.790000000008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164102.56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50118.41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27656.83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30000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271877.8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6395137.7999999998</v>
      </c>
      <c r="D145" s="86">
        <f>(D115+D128+D144)</f>
        <v>125235.49</v>
      </c>
      <c r="E145" s="86">
        <f>(E115+E128+E144)</f>
        <v>170909.16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2003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08/23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3200000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4.87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1066668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1066668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164102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164102</v>
      </c>
    </row>
    <row r="159" spans="1:9" x14ac:dyDescent="0.2">
      <c r="A159" s="22" t="s">
        <v>35</v>
      </c>
      <c r="B159" s="137">
        <f>'DOE25'!F498</f>
        <v>902566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902566</v>
      </c>
    </row>
    <row r="160" spans="1:9" x14ac:dyDescent="0.2">
      <c r="A160" s="22" t="s">
        <v>36</v>
      </c>
      <c r="B160" s="137">
        <f>'DOE25'!F499</f>
        <v>131867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131867</v>
      </c>
    </row>
    <row r="161" spans="1:7" x14ac:dyDescent="0.2">
      <c r="A161" s="22" t="s">
        <v>37</v>
      </c>
      <c r="B161" s="137">
        <f>'DOE25'!F500</f>
        <v>1034433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1034433</v>
      </c>
    </row>
    <row r="162" spans="1:7" x14ac:dyDescent="0.2">
      <c r="A162" s="22" t="s">
        <v>38</v>
      </c>
      <c r="B162" s="137">
        <f>'DOE25'!F501</f>
        <v>164103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164103</v>
      </c>
    </row>
    <row r="163" spans="1:7" x14ac:dyDescent="0.2">
      <c r="A163" s="22" t="s">
        <v>39</v>
      </c>
      <c r="B163" s="137">
        <f>'DOE25'!F502</f>
        <v>41957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41957</v>
      </c>
    </row>
    <row r="164" spans="1:7" x14ac:dyDescent="0.2">
      <c r="A164" s="22" t="s">
        <v>246</v>
      </c>
      <c r="B164" s="137">
        <f>'DOE25'!F503</f>
        <v>206060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206060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Tamworth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23474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23474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3492294</v>
      </c>
      <c r="D10" s="182">
        <f>ROUND((C10/$C$28)*100,1)</f>
        <v>54.2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921087</v>
      </c>
      <c r="D11" s="182">
        <f>ROUND((C11/$C$28)*100,1)</f>
        <v>14.3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15489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416581</v>
      </c>
      <c r="D15" s="182">
        <f t="shared" ref="D15:D27" si="0">ROUND((C15/$C$28)*100,1)</f>
        <v>6.5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169398</v>
      </c>
      <c r="D16" s="182">
        <f t="shared" si="0"/>
        <v>2.6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300525</v>
      </c>
      <c r="D17" s="182">
        <f t="shared" si="0"/>
        <v>4.7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233365</v>
      </c>
      <c r="D18" s="182">
        <f t="shared" si="0"/>
        <v>3.6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4787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424716</v>
      </c>
      <c r="D20" s="182">
        <f t="shared" si="0"/>
        <v>6.6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315926</v>
      </c>
      <c r="D21" s="182">
        <f t="shared" si="0"/>
        <v>4.9000000000000004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50118</v>
      </c>
      <c r="D25" s="182">
        <f t="shared" si="0"/>
        <v>0.8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102302.24</v>
      </c>
      <c r="D27" s="182">
        <f t="shared" si="0"/>
        <v>1.6</v>
      </c>
    </row>
    <row r="28" spans="1:4" x14ac:dyDescent="0.2">
      <c r="B28" s="187" t="s">
        <v>722</v>
      </c>
      <c r="C28" s="180">
        <f>SUM(C10:C27)</f>
        <v>6446588.2400000002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6446588.2400000002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164103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4574350</v>
      </c>
      <c r="D35" s="182">
        <f t="shared" ref="D35:D40" si="1">ROUND((C35/$C$41)*100,1)</f>
        <v>69.599999999999994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102906.41999999993</v>
      </c>
      <c r="D36" s="182">
        <f t="shared" si="1"/>
        <v>1.6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1529976</v>
      </c>
      <c r="D37" s="182">
        <f t="shared" si="1"/>
        <v>23.3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50080</v>
      </c>
      <c r="D38" s="182">
        <f t="shared" si="1"/>
        <v>0.8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310942</v>
      </c>
      <c r="D39" s="182">
        <f t="shared" si="1"/>
        <v>4.7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6568254.4199999999</v>
      </c>
      <c r="D41" s="184">
        <f>SUM(D35:D40)</f>
        <v>99.999999999999986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Tamworth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2017-08-23T13:47:58Z</cp:lastPrinted>
  <dcterms:created xsi:type="dcterms:W3CDTF">1997-12-04T19:04:30Z</dcterms:created>
  <dcterms:modified xsi:type="dcterms:W3CDTF">2017-11-29T18:06:30Z</dcterms:modified>
</cp:coreProperties>
</file>