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0490" windowHeight="89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110" i="1" l="1"/>
  <c r="F160" i="1"/>
  <c r="H154" i="1"/>
  <c r="H110" i="1"/>
  <c r="F63" i="1"/>
  <c r="F66" i="1"/>
  <c r="K255" i="1"/>
  <c r="K260" i="1"/>
  <c r="F315" i="1"/>
  <c r="H472" i="1"/>
  <c r="J604" i="1"/>
  <c r="G367" i="1"/>
  <c r="F367" i="1"/>
  <c r="F9" i="1"/>
  <c r="F49" i="1"/>
  <c r="F50" i="1"/>
  <c r="F472" i="1"/>
  <c r="F57" i="1"/>
  <c r="D9" i="13" l="1"/>
  <c r="B21" i="12" l="1"/>
  <c r="B12" i="12"/>
  <c r="G360" i="1"/>
  <c r="I360" i="1"/>
  <c r="G359" i="1"/>
  <c r="F358" i="1"/>
  <c r="G276" i="1"/>
  <c r="H277" i="1"/>
  <c r="J276" i="1"/>
  <c r="I296" i="1"/>
  <c r="H301" i="1"/>
  <c r="H468" i="1"/>
  <c r="H159" i="1"/>
  <c r="H155" i="1"/>
  <c r="J468" i="1"/>
  <c r="J472" i="1"/>
  <c r="F459" i="1"/>
  <c r="G459" i="1"/>
  <c r="I568" i="1"/>
  <c r="G158" i="1"/>
  <c r="G97" i="1"/>
  <c r="G9" i="1" l="1"/>
  <c r="F64" i="1" l="1"/>
  <c r="H30" i="1"/>
  <c r="H22" i="1"/>
  <c r="H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F22" i="13" s="1"/>
  <c r="C22" i="13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C119" i="2"/>
  <c r="E120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H408" i="1"/>
  <c r="H644" i="1" s="1"/>
  <c r="J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F461" i="1" s="1"/>
  <c r="H639" i="1" s="1"/>
  <c r="J639" i="1" s="1"/>
  <c r="G460" i="1"/>
  <c r="G461" i="1" s="1"/>
  <c r="H640" i="1" s="1"/>
  <c r="J640" i="1" s="1"/>
  <c r="H460" i="1"/>
  <c r="H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J641" i="1" s="1"/>
  <c r="H641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K257" i="1"/>
  <c r="F78" i="2"/>
  <c r="D50" i="2"/>
  <c r="D91" i="2"/>
  <c r="G62" i="2"/>
  <c r="D19" i="13"/>
  <c r="C19" i="13" s="1"/>
  <c r="E78" i="2"/>
  <c r="H112" i="1"/>
  <c r="L419" i="1"/>
  <c r="I169" i="1"/>
  <c r="G552" i="1"/>
  <c r="H476" i="1"/>
  <c r="H624" i="1" s="1"/>
  <c r="J140" i="1"/>
  <c r="G22" i="2"/>
  <c r="J552" i="1"/>
  <c r="H140" i="1"/>
  <c r="H192" i="1"/>
  <c r="G36" i="2"/>
  <c r="E62" i="2" l="1"/>
  <c r="E63" i="2" s="1"/>
  <c r="F169" i="1"/>
  <c r="D62" i="2"/>
  <c r="D63" i="2" s="1"/>
  <c r="K271" i="1"/>
  <c r="J645" i="1"/>
  <c r="J655" i="1"/>
  <c r="F476" i="1"/>
  <c r="H622" i="1" s="1"/>
  <c r="J622" i="1"/>
  <c r="J617" i="1"/>
  <c r="L570" i="1"/>
  <c r="J651" i="1"/>
  <c r="K598" i="1"/>
  <c r="G647" i="1" s="1"/>
  <c r="L544" i="1"/>
  <c r="H545" i="1"/>
  <c r="L534" i="1"/>
  <c r="H552" i="1"/>
  <c r="J545" i="1"/>
  <c r="K550" i="1"/>
  <c r="I545" i="1"/>
  <c r="L524" i="1"/>
  <c r="K551" i="1"/>
  <c r="F552" i="1"/>
  <c r="K549" i="1"/>
  <c r="D29" i="13"/>
  <c r="C29" i="13" s="1"/>
  <c r="I369" i="1"/>
  <c r="H634" i="1" s="1"/>
  <c r="J634" i="1" s="1"/>
  <c r="G661" i="1"/>
  <c r="H338" i="1"/>
  <c r="H352" i="1" s="1"/>
  <c r="E119" i="2"/>
  <c r="C11" i="10"/>
  <c r="F338" i="1"/>
  <c r="F352" i="1" s="1"/>
  <c r="E110" i="2"/>
  <c r="A31" i="12"/>
  <c r="C110" i="2"/>
  <c r="C20" i="10"/>
  <c r="C109" i="2"/>
  <c r="C16" i="10"/>
  <c r="C121" i="2"/>
  <c r="K500" i="1"/>
  <c r="I460" i="1"/>
  <c r="I461" i="1" s="1"/>
  <c r="H642" i="1" s="1"/>
  <c r="J642" i="1" s="1"/>
  <c r="L393" i="1"/>
  <c r="C138" i="2" s="1"/>
  <c r="L362" i="1"/>
  <c r="G635" i="1" s="1"/>
  <c r="J635" i="1" s="1"/>
  <c r="H661" i="1"/>
  <c r="L328" i="1"/>
  <c r="K338" i="1"/>
  <c r="E125" i="2"/>
  <c r="E121" i="2"/>
  <c r="E122" i="2"/>
  <c r="E118" i="2"/>
  <c r="C13" i="10"/>
  <c r="G338" i="1"/>
  <c r="G352" i="1" s="1"/>
  <c r="L309" i="1"/>
  <c r="C21" i="10"/>
  <c r="E112" i="2"/>
  <c r="A13" i="12"/>
  <c r="A40" i="12"/>
  <c r="L290" i="1"/>
  <c r="L270" i="1"/>
  <c r="C130" i="2"/>
  <c r="L256" i="1"/>
  <c r="G257" i="1"/>
  <c r="G271" i="1" s="1"/>
  <c r="D17" i="13"/>
  <c r="C17" i="13" s="1"/>
  <c r="C118" i="2"/>
  <c r="F257" i="1"/>
  <c r="F271" i="1" s="1"/>
  <c r="L247" i="1"/>
  <c r="C18" i="10"/>
  <c r="C122" i="2"/>
  <c r="D5" i="13"/>
  <c r="C5" i="13" s="1"/>
  <c r="J257" i="1"/>
  <c r="J271" i="1" s="1"/>
  <c r="I257" i="1"/>
  <c r="I271" i="1" s="1"/>
  <c r="C12" i="10"/>
  <c r="L211" i="1"/>
  <c r="C123" i="2"/>
  <c r="D14" i="13"/>
  <c r="C14" i="13" s="1"/>
  <c r="D7" i="13"/>
  <c r="C7" i="13" s="1"/>
  <c r="C70" i="2"/>
  <c r="F112" i="1"/>
  <c r="G624" i="1"/>
  <c r="J624" i="1"/>
  <c r="E31" i="2"/>
  <c r="D31" i="2"/>
  <c r="C18" i="2"/>
  <c r="D12" i="13"/>
  <c r="C12" i="13" s="1"/>
  <c r="L539" i="1"/>
  <c r="K503" i="1"/>
  <c r="L382" i="1"/>
  <c r="G636" i="1" s="1"/>
  <c r="J636" i="1" s="1"/>
  <c r="K352" i="1"/>
  <c r="E109" i="2"/>
  <c r="G81" i="2"/>
  <c r="C62" i="2"/>
  <c r="F661" i="1"/>
  <c r="C19" i="10"/>
  <c r="C15" i="10"/>
  <c r="C10" i="10"/>
  <c r="G112" i="1"/>
  <c r="C81" i="2"/>
  <c r="E13" i="13"/>
  <c r="C13" i="13" s="1"/>
  <c r="E8" i="13"/>
  <c r="C8" i="13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H25" i="13"/>
  <c r="E81" i="2"/>
  <c r="F81" i="2"/>
  <c r="F104" i="2" s="1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J647" i="1" l="1"/>
  <c r="L545" i="1"/>
  <c r="K552" i="1"/>
  <c r="C115" i="2"/>
  <c r="I661" i="1"/>
  <c r="C36" i="10"/>
  <c r="L338" i="1"/>
  <c r="L352" i="1" s="1"/>
  <c r="G633" i="1" s="1"/>
  <c r="J633" i="1" s="1"/>
  <c r="E128" i="2"/>
  <c r="E115" i="2"/>
  <c r="F660" i="1"/>
  <c r="F664" i="1" s="1"/>
  <c r="D31" i="13"/>
  <c r="C31" i="13" s="1"/>
  <c r="H660" i="1"/>
  <c r="H664" i="1" s="1"/>
  <c r="H648" i="1"/>
  <c r="J648" i="1" s="1"/>
  <c r="F193" i="1"/>
  <c r="G627" i="1" s="1"/>
  <c r="J627" i="1" s="1"/>
  <c r="C63" i="2"/>
  <c r="C104" i="2" s="1"/>
  <c r="C25" i="13"/>
  <c r="H33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E145" i="2"/>
  <c r="H667" i="1"/>
  <c r="H672" i="1"/>
  <c r="C6" i="10" s="1"/>
  <c r="G637" i="1"/>
  <c r="J637" i="1" s="1"/>
  <c r="H646" i="1"/>
  <c r="J646" i="1" s="1"/>
  <c r="F672" i="1"/>
  <c r="C4" i="10" s="1"/>
  <c r="F667" i="1"/>
  <c r="C41" i="10"/>
  <c r="D38" i="10" s="1"/>
  <c r="D37" i="10" l="1"/>
  <c r="D36" i="10"/>
  <c r="D35" i="10"/>
  <c r="D40" i="10"/>
  <c r="D39" i="10"/>
  <c r="D41" i="10" l="1"/>
  <c r="E16" i="13"/>
  <c r="C16" i="13" s="1"/>
  <c r="L227" i="1"/>
  <c r="C17" i="10" s="1"/>
  <c r="C125" i="2"/>
  <c r="C128" i="2" s="1"/>
  <c r="C145" i="2" s="1"/>
  <c r="H229" i="1"/>
  <c r="H257" i="1"/>
  <c r="H271" i="1" s="1"/>
  <c r="C28" i="10" l="1"/>
  <c r="L229" i="1"/>
  <c r="E33" i="13"/>
  <c r="D35" i="13" s="1"/>
  <c r="G660" i="1" l="1"/>
  <c r="L257" i="1"/>
  <c r="L271" i="1" s="1"/>
  <c r="G632" i="1" s="1"/>
  <c r="D16" i="10"/>
  <c r="D11" i="10"/>
  <c r="D25" i="10"/>
  <c r="D19" i="10"/>
  <c r="D22" i="10"/>
  <c r="D15" i="10"/>
  <c r="D13" i="10"/>
  <c r="D10" i="10"/>
  <c r="D21" i="10"/>
  <c r="D20" i="10"/>
  <c r="C30" i="10"/>
  <c r="D23" i="10"/>
  <c r="D12" i="10"/>
  <c r="D27" i="10"/>
  <c r="D24" i="10"/>
  <c r="D18" i="10"/>
  <c r="D26" i="10"/>
  <c r="D17" i="10"/>
  <c r="D28" i="10" l="1"/>
  <c r="H656" i="1"/>
  <c r="J632" i="1"/>
  <c r="G664" i="1"/>
  <c r="I660" i="1"/>
  <c r="I664" i="1" s="1"/>
  <c r="I667" i="1" l="1"/>
  <c r="I672" i="1"/>
  <c r="C7" i="10" s="1"/>
  <c r="G672" i="1"/>
  <c r="C5" i="10" s="1"/>
  <c r="G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<sst xmlns="http://schemas.openxmlformats.org/spreadsheetml/2006/main" count="3958" uniqueCount="916">
  <si>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</si>
  <si>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</si>
  <si>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</si>
  <si>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</si>
  <si>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</si>
  <si>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</si>
  <si>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</si>
  <si>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</si>
  <si>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</si>
  <si>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</si>
  <si>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</si>
  <si>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</si>
  <si>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</si>
  <si>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</si>
  <si>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</si>
  <si>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</si>
  <si>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</si>
  <si>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</si>
  <si>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</si>
  <si>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</si>
  <si>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</si>
  <si>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</si>
  <si>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</si>
  <si>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</si>
  <si>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</si>
  <si>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</si>
  <si>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</si>
  <si>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</si>
  <si>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</si>
  <si>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</si>
  <si>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</si>
  <si>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</si>
  <si>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</si>
  <si>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</si>
  <si>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</si>
  <si>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</si>
  <si>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</si>
  <si>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</si>
  <si>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</si>
  <si>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</si>
  <si>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</si>
  <si>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</si>
  <si>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</si>
  <si>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</si>
  <si>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</si>
  <si>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</si>
  <si>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</si>
  <si>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</si>
  <si>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</si>
  <si>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</si>
  <si>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</si>
  <si>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</si>
  <si>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</si>
  <si>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</si>
  <si>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</si>
  <si>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</si>
  <si>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</si>
  <si>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</si>
  <si>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</si>
  <si>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</si>
  <si>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</si>
  <si>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</si>
  <si>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</si>
  <si>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</si>
  <si>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</si>
  <si>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</si>
  <si>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</si>
  <si>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</si>
  <si>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</si>
  <si>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</si>
  <si>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</si>
  <si>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</si>
  <si>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</si>
  <si>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</si>
  <si>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</si>
  <si>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</si>
  <si>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</si>
  <si>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</si>
  <si>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</si>
  <si>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</si>
  <si>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</si>
  <si>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</si>
  <si>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</si>
  <si>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</si>
  <si>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</si>
  <si>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</si>
  <si>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</si>
  <si>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</si>
  <si>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</si>
  <si>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</si>
  <si>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</si>
  <si>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</si>
  <si>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</si>
  <si>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</si>
  <si>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</si>
  <si>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</si>
  <si>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</si>
  <si>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</si>
  <si>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</si>
  <si>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</si>
  <si>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</si>
  <si>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</si>
  <si>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</si>
  <si>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</si>
  <si>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</si>
  <si>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</si>
  <si>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</si>
  <si>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</si>
  <si>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</si>
  <si>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</si>
  <si>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</si>
  <si>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</si>
  <si>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</si>
  <si>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</si>
  <si>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</si>
  <si>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</si>
  <si>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</si>
  <si>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</si>
  <si>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</si>
  <si>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</si>
  <si>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</si>
  <si>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</si>
  <si>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</si>
  <si>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</si>
  <si>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</si>
  <si>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</si>
  <si>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</si>
  <si>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</si>
  <si>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</si>
  <si>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</si>
  <si>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</si>
  <si>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</si>
  <si>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</si>
  <si>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</si>
  <si>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</si>
  <si>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</si>
  <si>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</si>
  <si>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</si>
  <si>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</si>
  <si>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</si>
  <si>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</si>
  <si>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</si>
  <si>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</si>
  <si>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</si>
  <si>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</si>
  <si>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</si>
  <si>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</si>
  <si>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</si>
  <si>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</si>
  <si>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</si>
  <si>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</si>
  <si>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</si>
  <si>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</si>
  <si>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</si>
  <si>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</si>
  <si>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</si>
  <si>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</si>
  <si>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</si>
  <si>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</si>
  <si>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</si>
  <si>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</si>
  <si>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</si>
  <si>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</si>
  <si>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</si>
  <si>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</si>
  <si>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</si>
  <si>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</si>
  <si>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</si>
  <si>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</si>
  <si>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</si>
  <si>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</si>
  <si>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</si>
  <si>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</si>
  <si>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</si>
  <si>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</si>
  <si>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</si>
  <si>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</si>
  <si>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</si>
  <si>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</si>
  <si>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</si>
  <si>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</si>
  <si>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</si>
  <si>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</si>
  <si>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</si>
  <si>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</si>
  <si>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</si>
  <si>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</si>
  <si>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</si>
  <si>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</si>
  <si>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</si>
  <si>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</si>
  <si>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</si>
  <si>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</si>
  <si>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</si>
  <si>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</si>
  <si>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</si>
  <si>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</si>
  <si>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</si>
  <si>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</si>
  <si>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</si>
  <si>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</si>
  <si>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</si>
  <si>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</si>
  <si>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</si>
  <si>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</si>
  <si>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</si>
  <si>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</si>
  <si>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</si>
  <si>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</si>
  <si>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</si>
  <si>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</si>
  <si>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</si>
  <si>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</si>
  <si>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</si>
  <si>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</si>
  <si>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</si>
  <si>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</si>
  <si>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</si>
  <si>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</si>
  <si>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</si>
  <si>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</si>
  <si>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</si>
  <si>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</si>
  <si>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</si>
  <si>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</si>
  <si>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</si>
  <si>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</si>
  <si>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</si>
  <si>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</si>
  <si>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</si>
  <si>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</si>
  <si>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</si>
  <si>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</si>
  <si>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</si>
  <si>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</si>
  <si>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</si>
  <si>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</si>
  <si>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</si>
  <si>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</si>
  <si>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</si>
  <si>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</si>
  <si>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</si>
  <si>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</si>
  <si>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</si>
  <si>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</si>
  <si>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</si>
  <si>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</si>
  <si>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</si>
  <si>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</si>
  <si>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</si>
  <si>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</si>
  <si>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</si>
  <si>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</si>
  <si>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</si>
  <si>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</si>
  <si>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</si>
  <si>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</si>
  <si>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</si>
  <si>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</si>
  <si>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</si>
  <si>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</si>
  <si>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</si>
  <si>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</si>
  <si>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</si>
  <si>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</si>
  <si>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</si>
  <si>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</si>
  <si>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</si>
  <si>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</si>
  <si>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</si>
  <si>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</si>
  <si>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</si>
  <si>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</si>
  <si>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</si>
  <si>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</si>
  <si>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</si>
  <si>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</si>
  <si>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</si>
  <si>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</si>
  <si>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</si>
  <si>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</si>
  <si>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</si>
  <si>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</si>
  <si>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</si>
  <si>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</si>
  <si>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</si>
  <si>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</si>
  <si>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</si>
  <si>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</si>
  <si>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</si>
  <si>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</si>
  <si>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</si>
  <si>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</si>
  <si>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</si>
  <si>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</si>
  <si>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</si>
  <si>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</si>
  <si>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</si>
  <si>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</si>
  <si>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</si>
  <si>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</si>
  <si>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</si>
  <si>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</si>
  <si>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</si>
  <si>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</si>
  <si>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</si>
  <si>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</si>
  <si>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</si>
  <si>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</si>
  <si>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</si>
  <si>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</si>
  <si>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</si>
  <si>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</si>
  <si>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</si>
  <si>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</si>
  <si>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</si>
  <si>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</si>
  <si>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</si>
  <si>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</si>
  <si>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</si>
  <si>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</si>
  <si>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</si>
  <si>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</si>
  <si>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</si>
  <si>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</si>
  <si>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</si>
  <si>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</si>
  <si>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</si>
  <si>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</si>
  <si>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</si>
  <si>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</si>
  <si>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</si>
  <si>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</si>
  <si>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</si>
  <si>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</si>
  <si>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</si>
  <si>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</si>
  <si>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</si>
  <si>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</si>
  <si>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</si>
  <si>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</si>
  <si>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</si>
  <si>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</si>
  <si>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</si>
  <si>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</si>
  <si>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</si>
  <si>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</si>
  <si>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</si>
  <si>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</si>
  <si>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</si>
  <si>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</si>
  <si>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</si>
  <si>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</si>
  <si>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</si>
  <si>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</si>
  <si>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</si>
  <si>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</si>
  <si>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</si>
  <si>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</si>
  <si>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</si>
  <si>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</si>
  <si>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</si>
  <si>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</si>
  <si>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</si>
  <si>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</si>
  <si>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</si>
  <si>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</si>
  <si>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</si>
  <si>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</si>
  <si>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</si>
  <si>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</si>
  <si>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</si>
  <si>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</si>
  <si>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</si>
  <si>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</si>
  <si>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</si>
  <si>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</si>
  <si>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</si>
  <si>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</si>
  <si>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</si>
  <si>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</si>
  <si>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</si>
  <si>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</si>
  <si>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</si>
  <si>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</si>
  <si>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</si>
  <si>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</si>
  <si>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</si>
  <si>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</si>
  <si>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</si>
  <si>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</si>
  <si>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</si>
  <si>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</si>
  <si>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</si>
  <si>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</si>
  <si>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</si>
  <si>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</si>
  <si>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</si>
  <si>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</si>
  <si>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</si>
  <si>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</si>
  <si>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</si>
  <si>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</si>
  <si>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</si>
  <si>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</si>
  <si>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</si>
  <si>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</si>
  <si>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</si>
  <si>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</si>
  <si>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</si>
  <si>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</si>
  <si>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</si>
  <si>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</si>
  <si>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</si>
  <si>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</si>
  <si>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</si>
  <si>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</si>
  <si>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</si>
  <si>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</si>
  <si>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</si>
  <si>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</si>
  <si>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</si>
  <si>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</si>
  <si>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</si>
  <si>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</si>
  <si>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</si>
  <si>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</si>
  <si>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</si>
  <si>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</si>
  <si>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</si>
  <si>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</si>
  <si>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</si>
  <si>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</si>
  <si>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</si>
  <si>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</si>
  <si>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</si>
  <si>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</si>
  <si>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</si>
  <si>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</si>
  <si>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</si>
  <si>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</si>
  <si>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</si>
  <si>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</si>
  <si>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</si>
  <si>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</si>
  <si>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</si>
  <si>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</si>
  <si>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</si>
  <si>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</si>
  <si>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</si>
  <si>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</si>
  <si>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</si>
  <si>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</si>
  <si>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</si>
  <si>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</si>
  <si>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</si>
  <si>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</si>
  <si>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</si>
  <si>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</si>
  <si>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</si>
  <si>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</si>
  <si>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</si>
  <si>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</si>
  <si>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</si>
  <si>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</si>
  <si>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</si>
  <si>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</si>
  <si>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</si>
  <si>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</si>
  <si>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</si>
  <si>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</si>
  <si>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</si>
  <si>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</si>
  <si>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</si>
  <si>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</si>
  <si>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</si>
  <si>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</si>
  <si>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</si>
  <si>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</si>
  <si>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</si>
  <si>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</si>
  <si>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</si>
  <si>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</si>
  <si>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</si>
  <si>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</si>
  <si>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</si>
  <si>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</si>
  <si>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</si>
  <si>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</si>
  <si>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</si>
  <si>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</si>
  <si>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</si>
  <si>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</si>
  <si>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</si>
  <si>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</si>
  <si>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</si>
  <si>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</si>
  <si>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</si>
  <si>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</si>
  <si>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</si>
  <si>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</si>
  <si>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</si>
  <si>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</si>
  <si>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</si>
  <si>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</si>
  <si>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</si>
  <si>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</si>
  <si>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</si>
  <si>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</si>
  <si>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</si>
  <si>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</si>
  <si>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</si>
  <si>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</si>
  <si>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</si>
  <si>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</si>
  <si>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</si>
  <si>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</si>
  <si>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</si>
  <si>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</si>
  <si>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</si>
  <si>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</si>
  <si>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</si>
  <si>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</si>
  <si>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</si>
  <si>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</si>
  <si>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</si>
  <si>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</si>
  <si>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</si>
  <si>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</si>
  <si>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</si>
  <si>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</si>
  <si>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</si>
  <si>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</si>
  <si>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</si>
  <si>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</si>
  <si>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</si>
  <si>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</si>
  <si>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</si>
  <si>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</si>
  <si>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</si>
  <si>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</si>
  <si>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</si>
  <si>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</si>
  <si>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</si>
  <si>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</si>
  <si>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</si>
  <si>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</si>
  <si>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</si>
  <si>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</si>
  <si>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</si>
  <si>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</si>
  <si>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</si>
  <si>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</si>
  <si>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</si>
  <si>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</si>
  <si>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</si>
  <si>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</si>
  <si>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</si>
  <si>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</si>
  <si>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</si>
  <si>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</si>
  <si>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</si>
  <si>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</si>
  <si>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</si>
  <si>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</si>
  <si>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</si>
  <si>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</si>
  <si>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</si>
  <si>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</si>
  <si>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</si>
  <si>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</si>
  <si>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</si>
  <si>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</si>
  <si>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</si>
  <si>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</si>
  <si>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</si>
  <si>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</si>
  <si>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</si>
  <si>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</si>
  <si>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</si>
  <si>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</si>
  <si>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</si>
  <si>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</si>
  <si>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</si>
  <si>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</si>
  <si>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</si>
  <si>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</si>
  <si>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</si>
  <si>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</si>
  <si>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</si>
  <si>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</si>
  <si>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</si>
  <si>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</si>
  <si>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</si>
  <si>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</si>
  <si>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</si>
  <si>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</si>
  <si>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</si>
  <si>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</si>
  <si>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</si>
  <si>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</si>
  <si>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</si>
  <si>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</si>
  <si>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</si>
  <si>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</si>
  <si>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</si>
  <si>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</si>
  <si>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</si>
  <si>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</si>
  <si>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</si>
  <si>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</si>
  <si>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</si>
  <si>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</si>
  <si>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</si>
  <si>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</si>
  <si>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</si>
  <si>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</si>
  <si>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</si>
  <si>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</si>
  <si>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</si>
  <si>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</si>
  <si>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</si>
  <si>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</si>
  <si>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</si>
  <si>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</si>
  <si>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</si>
  <si>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</si>
  <si>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</si>
  <si>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</si>
  <si>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</si>
  <si>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</si>
  <si>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</si>
  <si>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</si>
  <si>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</si>
  <si>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</si>
  <si>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</si>
  <si>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</si>
  <si>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</si>
  <si>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</si>
  <si>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</si>
  <si>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</si>
  <si>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</si>
  <si>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</si>
  <si>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</si>
  <si>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</si>
  <si>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</si>
  <si>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</si>
  <si>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</si>
  <si>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</si>
  <si>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</si>
  <si>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</si>
  <si>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</si>
  <si>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</si>
  <si>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</si>
  <si>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</si>
  <si>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</si>
  <si>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</si>
  <si>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</si>
  <si>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</si>
  <si>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</si>
  <si>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</si>
  <si>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</si>
  <si>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</si>
  <si>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</si>
  <si>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</si>
  <si>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</si>
  <si>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</si>
  <si>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</si>
  <si>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</si>
  <si>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</si>
  <si>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</si>
  <si>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</si>
  <si>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</si>
  <si>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</si>
  <si>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</si>
  <si>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</si>
  <si>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</si>
  <si>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</si>
  <si>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</si>
  <si>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</si>
  <si>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</si>
  <si>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</si>
  <si>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</si>
  <si>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</si>
  <si>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</si>
  <si>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</si>
  <si>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</si>
  <si>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</si>
  <si>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</si>
  <si>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</si>
  <si>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</si>
  <si>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</si>
  <si>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</si>
  <si>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</si>
  <si>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</si>
  <si>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</si>
  <si>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</si>
  <si>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</si>
  <si>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</si>
  <si>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</si>
  <si>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</si>
  <si>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</si>
  <si>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</si>
  <si>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</si>
  <si>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</si>
  <si>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</si>
  <si>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</si>
  <si>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</si>
  <si>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</si>
  <si>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</si>
  <si>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</si>
  <si>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</si>
  <si>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</si>
  <si>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</si>
  <si>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</si>
  <si>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</si>
  <si>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</si>
  <si>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</si>
  <si>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</si>
  <si>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</si>
  <si>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</si>
  <si>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</si>
  <si>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</si>
  <si>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</si>
  <si>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</si>
  <si>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</si>
  <si>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</si>
  <si>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</si>
  <si>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</si>
  <si>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</si>
  <si>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</si>
  <si>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</si>
  <si>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</si>
  <si>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</si>
  <si>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</si>
  <si>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</si>
  <si>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</si>
  <si>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</si>
  <si>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</si>
  <si>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</si>
  <si>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</si>
  <si>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</si>
  <si>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</si>
  <si>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</si>
  <si>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</si>
  <si>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</si>
  <si>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</si>
  <si>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</si>
  <si>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</si>
  <si>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</si>
  <si>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</si>
  <si>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</si>
  <si>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</si>
  <si>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</si>
  <si>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</si>
  <si>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</si>
  <si>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</si>
  <si>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</si>
  <si>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</si>
  <si>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</si>
  <si>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</si>
  <si>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</si>
  <si>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</si>
  <si>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</si>
  <si>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</si>
  <si>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</si>
  <si>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</si>
  <si>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</si>
  <si>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</si>
  <si>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</si>
  <si>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</si>
  <si>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</si>
  <si>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</si>
  <si>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</si>
  <si>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</si>
  <si>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</si>
  <si>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</si>
  <si>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</si>
  <si>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</si>
  <si>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</si>
  <si>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</si>
  <si>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</si>
  <si>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</si>
  <si>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</si>
  <si>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</si>
  <si>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</si>
  <si>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</si>
  <si>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</si>
  <si>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</si>
  <si>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</si>
  <si>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</si>
  <si>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</si>
  <si>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</si>
  <si>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</si>
  <si>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</si>
  <si>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</si>
  <si>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</si>
  <si>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</si>
  <si>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</si>
  <si>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</si>
  <si>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</si>
  <si>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</si>
  <si>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</si>
  <si>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</si>
  <si>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</si>
  <si>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</si>
  <si>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</si>
  <si>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</si>
  <si>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</si>
  <si>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</si>
  <si>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</si>
  <si>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</si>
  <si>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</si>
  <si>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</si>
  <si>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</si>
  <si>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</si>
  <si>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</si>
  <si>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</si>
  <si>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</si>
  <si>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</si>
  <si>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</si>
  <si>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</si>
  <si>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</si>
  <si>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</si>
  <si>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</si>
  <si>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</si>
  <si>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</si>
  <si>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</si>
  <si>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</si>
  <si>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</si>
  <si>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</si>
  <si>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</si>
  <si>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</si>
  <si>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</si>
  <si>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</si>
  <si>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</si>
  <si>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</si>
  <si>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</si>
  <si>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</si>
  <si>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</si>
  <si>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</si>
  <si>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</si>
  <si>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</si>
  <si>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</si>
  <si>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</si>
  <si>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</si>
  <si>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</si>
  <si>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</si>
  <si>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</si>
  <si>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</si>
  <si>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</si>
  <si>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</si>
  <si>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</si>
  <si>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</si>
  <si>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</si>
  <si>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</si>
  <si>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</si>
  <si>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</si>
  <si>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</si>
  <si>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</si>
  <si>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</si>
  <si>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</si>
  <si>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</si>
  <si>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</si>
  <si>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</si>
  <si>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</si>
  <si>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</si>
  <si>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</si>
  <si>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</si>
  <si>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</si>
  <si>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</si>
  <si>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</si>
  <si>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</si>
  <si>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</si>
  <si>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</si>
  <si>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</si>
  <si>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</si>
  <si>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</si>
  <si>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</si>
  <si>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</si>
  <si>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</si>
  <si>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</si>
  <si>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</si>
  <si>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</si>
  <si>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</si>
  <si>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</si>
  <si>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</si>
  <si>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</si>
  <si>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</si>
  <si>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</si>
  <si>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</si>
  <si>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</si>
  <si>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</si>
  <si>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</si>
  <si>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</si>
  <si>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</si>
  <si>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</si>
  <si>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</si>
  <si>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</si>
  <si>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</si>
  <si>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</si>
  <si>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</si>
  <si>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</si>
  <si>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</si>
  <si>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</si>
  <si>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</si>
  <si>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</si>
  <si>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</si>
  <si>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</si>
  <si>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</si>
  <si>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</si>
  <si>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</si>
  <si>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07/1999</t>
  </si>
  <si>
    <t>8/2020</t>
  </si>
  <si>
    <t>4.25 to 5.25</t>
  </si>
  <si>
    <t>Timberlane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</si>
</sst>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534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2441441.23+1.49011611938476E-08</f>
        <v>2441441.2300000149</v>
      </c>
      <c r="G9" s="18">
        <f>316551.19+550</f>
        <v>317101.19</v>
      </c>
      <c r="H9" s="18">
        <f>28546.39+100</f>
        <v>28646.39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555880.72</v>
      </c>
      <c r="G12" s="18">
        <v>20228.89</v>
      </c>
      <c r="H12" s="18">
        <v>5689.99</v>
      </c>
      <c r="I12" s="18"/>
      <c r="J12" s="67">
        <f>SUM(I441)</f>
        <v>12057.91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562949.79</v>
      </c>
      <c r="G13" s="18"/>
      <c r="H13" s="18">
        <v>277425.93</v>
      </c>
      <c r="I13" s="18"/>
      <c r="J13" s="67">
        <f>SUM(I442)</f>
        <v>1415230.93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61817.54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33876.93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1000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3623089.2800000152</v>
      </c>
      <c r="G19" s="41">
        <f>SUM(G9:G18)</f>
        <v>371207.01</v>
      </c>
      <c r="H19" s="41">
        <f>SUM(H9:H18)</f>
        <v>311762.31</v>
      </c>
      <c r="I19" s="41">
        <f>SUM(I9:I18)</f>
        <v>0</v>
      </c>
      <c r="J19" s="41">
        <f>SUM(J9:J18)</f>
        <v>1427288.8399999999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299134.82</v>
      </c>
      <c r="H22" s="18">
        <f>250817.41+28646.39</f>
        <v>279463.8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34829.089999999997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120748.83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>
        <v>36924.400000000001</v>
      </c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213202.54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4510</v>
      </c>
      <c r="G30" s="18">
        <v>35147.79</v>
      </c>
      <c r="H30" s="18">
        <f>26608.52+5689.99</f>
        <v>32298.510000000002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373290.45999999996</v>
      </c>
      <c r="G32" s="41">
        <f>SUM(G22:G31)</f>
        <v>371207.01</v>
      </c>
      <c r="H32" s="41">
        <f>SUM(H22:H31)</f>
        <v>311762.31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33876.93</v>
      </c>
      <c r="H35" s="18">
        <v>43416.89</v>
      </c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42111.78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-33876.93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175000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-43416.89</v>
      </c>
      <c r="I48" s="18"/>
      <c r="J48" s="13">
        <f>SUM(I459)</f>
        <v>1427288.8399999999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f>373450.15+1.49011611938476E-08</f>
        <v>373450.15000001492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3474992.83-1065755.94</f>
        <v>2409236.89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3249798.8200000152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1427288.8399999999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3623089.2800000152</v>
      </c>
      <c r="G52" s="41">
        <f>G51+G32</f>
        <v>371207.01</v>
      </c>
      <c r="H52" s="41">
        <f>H51+H32</f>
        <v>311762.31</v>
      </c>
      <c r="I52" s="41">
        <f>I51+I32</f>
        <v>0</v>
      </c>
      <c r="J52" s="41">
        <f>J51+J32</f>
        <v>1427288.8399999999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13526535+8235477+15722195+11880172+90000+50000-6299129-142500</f>
        <v>43062750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142500</v>
      </c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43205250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11310+23140+13550+17770+66014+58730+62750+78050+40690+20840</f>
        <v>392844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f>6090</f>
        <v>6090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f>16954</f>
        <v>16954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33508.86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449396.86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6592.22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609530.35+37478.95+240688.77+50337.22+459.05+13204.99</f>
        <v>951699.33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270</v>
      </c>
      <c r="G101" s="18"/>
      <c r="H101" s="18">
        <v>38307.5</v>
      </c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129568.13+48202.18+1267.08</f>
        <v>179037.38999999998</v>
      </c>
      <c r="G110" s="18"/>
      <c r="H110" s="18">
        <f>35751.09+6528.53+38307.5+3829.38+2348.47-38307.5-2348.47</f>
        <v>46109</v>
      </c>
      <c r="I110" s="18"/>
      <c r="J110" s="18">
        <v>17635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179307.38999999998</v>
      </c>
      <c r="G111" s="41">
        <f>SUM(G96:G110)</f>
        <v>951699.33</v>
      </c>
      <c r="H111" s="41">
        <f>SUM(H96:H110)</f>
        <v>84416.5</v>
      </c>
      <c r="I111" s="41">
        <f>SUM(I96:I110)</f>
        <v>0</v>
      </c>
      <c r="J111" s="41">
        <f>SUM(J96:J110)</f>
        <v>24227.22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43833954.25</v>
      </c>
      <c r="G112" s="41">
        <f>G60+G111</f>
        <v>951699.33</v>
      </c>
      <c r="H112" s="41">
        <f>H60+H79+H94+H111</f>
        <v>84416.5</v>
      </c>
      <c r="I112" s="41">
        <f>I60+I111</f>
        <v>0</v>
      </c>
      <c r="J112" s="41">
        <f>J60+J111</f>
        <v>24227.22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10728395.439999999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6299129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49700.01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17077224.449999999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1103810.6599999999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552345.05000000005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36967.599999999999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17416.09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1693123.31</v>
      </c>
      <c r="G136" s="41">
        <f>SUM(G123:G135)</f>
        <v>17416.09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18770347.759999998</v>
      </c>
      <c r="G140" s="41">
        <f>G121+SUM(G136:G137)</f>
        <v>17416.09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22358.69+6750+350892.37</f>
        <v>380001.06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24343.99+1576+1779.75-495.2+94708.38+11203.56+21777.63</f>
        <v>154894.11000000002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275453.3+89888.75</f>
        <v>365342.05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495.2+893747.02</f>
        <v>894242.22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f>583890.27</f>
        <v>583890.27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24546.42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583890.27</v>
      </c>
      <c r="G162" s="41">
        <f>SUM(G150:G161)</f>
        <v>365342.05</v>
      </c>
      <c r="H162" s="41">
        <f>SUM(H150:H161)</f>
        <v>1453683.81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583890.27</v>
      </c>
      <c r="G169" s="41">
        <f>G147+G162+SUM(G163:G168)</f>
        <v>365342.05</v>
      </c>
      <c r="H169" s="41">
        <f>H147+H162+SUM(H163:H168)</f>
        <v>1453683.81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13588</v>
      </c>
      <c r="H179" s="18">
        <v>2348.4699999999998</v>
      </c>
      <c r="I179" s="18"/>
      <c r="J179" s="18">
        <v>250000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13588</v>
      </c>
      <c r="H183" s="41">
        <f>SUM(H179:H182)</f>
        <v>2348.4699999999998</v>
      </c>
      <c r="I183" s="41">
        <f>SUM(I179:I182)</f>
        <v>0</v>
      </c>
      <c r="J183" s="41">
        <f>SUM(J179:J182)</f>
        <v>250000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13588</v>
      </c>
      <c r="H192" s="41">
        <f>+H183+SUM(H188:H191)</f>
        <v>2348.4699999999998</v>
      </c>
      <c r="I192" s="41">
        <f>I177+I183+SUM(I188:I191)</f>
        <v>0</v>
      </c>
      <c r="J192" s="41">
        <f>J183</f>
        <v>250000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63188192.280000001</v>
      </c>
      <c r="G193" s="47">
        <f>G112+G140+G169+G192</f>
        <v>1348045.47</v>
      </c>
      <c r="H193" s="47">
        <f>H112+H140+H169+H192</f>
        <v>1540448.78</v>
      </c>
      <c r="I193" s="47">
        <f>I112+I140+I169+I192</f>
        <v>0</v>
      </c>
      <c r="J193" s="47">
        <f>J112+J140+J192</f>
        <v>274227.21999999997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7325502.7000000002</v>
      </c>
      <c r="G197" s="18">
        <v>3508972.89</v>
      </c>
      <c r="H197" s="18">
        <v>24288.52</v>
      </c>
      <c r="I197" s="18">
        <v>448081.72</v>
      </c>
      <c r="J197" s="18">
        <v>230357.86</v>
      </c>
      <c r="K197" s="18">
        <v>0</v>
      </c>
      <c r="L197" s="19">
        <f>SUM(F197:K197)</f>
        <v>11537203.689999999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2431519.2999999998</v>
      </c>
      <c r="G198" s="18">
        <v>1164716.7</v>
      </c>
      <c r="H198" s="18">
        <v>481864.7</v>
      </c>
      <c r="I198" s="18">
        <v>26982.799999999999</v>
      </c>
      <c r="J198" s="18">
        <v>26122.720000000001</v>
      </c>
      <c r="K198" s="18">
        <v>0</v>
      </c>
      <c r="L198" s="19">
        <f>SUM(F198:K198)</f>
        <v>4131206.22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84501.46</v>
      </c>
      <c r="G200" s="18">
        <v>40476.86</v>
      </c>
      <c r="H200" s="18">
        <v>3838.47</v>
      </c>
      <c r="I200" s="18">
        <v>12567.19</v>
      </c>
      <c r="J200" s="18">
        <v>0</v>
      </c>
      <c r="K200" s="18">
        <v>0</v>
      </c>
      <c r="L200" s="19">
        <f>SUM(F200:K200)</f>
        <v>141383.98000000001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1071697.79</v>
      </c>
      <c r="G202" s="18">
        <v>513351.59</v>
      </c>
      <c r="H202" s="18">
        <v>112722.08</v>
      </c>
      <c r="I202" s="18">
        <v>29027.94</v>
      </c>
      <c r="J202" s="18">
        <v>3402.58</v>
      </c>
      <c r="K202" s="18">
        <v>5590.8</v>
      </c>
      <c r="L202" s="19">
        <f t="shared" ref="L202:L208" si="0">SUM(F202:K202)</f>
        <v>1735792.7800000003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377999.87</v>
      </c>
      <c r="G203" s="18">
        <v>238380.94</v>
      </c>
      <c r="H203" s="18">
        <v>54276.75</v>
      </c>
      <c r="I203" s="18">
        <v>51213</v>
      </c>
      <c r="J203" s="18">
        <v>3227.82</v>
      </c>
      <c r="K203" s="18">
        <v>0</v>
      </c>
      <c r="L203" s="19">
        <f t="shared" si="0"/>
        <v>725098.38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244227.05</v>
      </c>
      <c r="G204" s="18">
        <v>116986.66</v>
      </c>
      <c r="H204" s="18">
        <v>752736.12</v>
      </c>
      <c r="I204" s="18">
        <v>4441.57</v>
      </c>
      <c r="J204" s="18">
        <v>2367.21</v>
      </c>
      <c r="K204" s="18">
        <v>12912.95</v>
      </c>
      <c r="L204" s="19">
        <f t="shared" si="0"/>
        <v>1133671.56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1440531.13</v>
      </c>
      <c r="G205" s="18">
        <v>690025.64</v>
      </c>
      <c r="H205" s="18">
        <v>117109.63</v>
      </c>
      <c r="I205" s="18">
        <v>39606.870000000003</v>
      </c>
      <c r="J205" s="18">
        <v>33650.47</v>
      </c>
      <c r="K205" s="18">
        <v>10007.98</v>
      </c>
      <c r="L205" s="19">
        <f t="shared" si="0"/>
        <v>2330931.7200000002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22632.73</v>
      </c>
      <c r="I206" s="18">
        <v>0</v>
      </c>
      <c r="J206" s="18">
        <v>0</v>
      </c>
      <c r="K206" s="18">
        <v>0</v>
      </c>
      <c r="L206" s="19">
        <f t="shared" si="0"/>
        <v>22632.73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814527.93</v>
      </c>
      <c r="G207" s="18">
        <v>402143.44</v>
      </c>
      <c r="H207" s="18">
        <v>365258.74</v>
      </c>
      <c r="I207" s="18">
        <v>441688.06</v>
      </c>
      <c r="J207" s="18">
        <v>34911.230000000003</v>
      </c>
      <c r="K207" s="18">
        <v>0</v>
      </c>
      <c r="L207" s="19">
        <f t="shared" si="0"/>
        <v>2058529.4000000001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1183922.1000000001</v>
      </c>
      <c r="I208" s="18">
        <v>0</v>
      </c>
      <c r="J208" s="18">
        <v>0</v>
      </c>
      <c r="K208" s="18">
        <v>0</v>
      </c>
      <c r="L208" s="19">
        <f t="shared" si="0"/>
        <v>1183922.1000000001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61865.48</v>
      </c>
      <c r="G209" s="18">
        <v>29634.05</v>
      </c>
      <c r="H209" s="18">
        <v>10271.540000000001</v>
      </c>
      <c r="I209" s="18">
        <v>87020.13</v>
      </c>
      <c r="J209" s="18">
        <v>19269.61</v>
      </c>
      <c r="K209" s="18">
        <v>0</v>
      </c>
      <c r="L209" s="19">
        <f>SUM(F209:K209)</f>
        <v>208060.81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13852372.710000001</v>
      </c>
      <c r="G211" s="41">
        <f t="shared" si="1"/>
        <v>6704688.7700000005</v>
      </c>
      <c r="H211" s="41">
        <f t="shared" si="1"/>
        <v>3128921.38</v>
      </c>
      <c r="I211" s="41">
        <f t="shared" si="1"/>
        <v>1140629.2799999998</v>
      </c>
      <c r="J211" s="41">
        <f t="shared" si="1"/>
        <v>353309.5</v>
      </c>
      <c r="K211" s="41">
        <f t="shared" si="1"/>
        <v>28511.73</v>
      </c>
      <c r="L211" s="41">
        <f t="shared" si="1"/>
        <v>25208433.369999997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4245992.88</v>
      </c>
      <c r="G215" s="18">
        <v>2033863.6799999999</v>
      </c>
      <c r="H215" s="18">
        <v>15907.86</v>
      </c>
      <c r="I215" s="18">
        <v>224440.49</v>
      </c>
      <c r="J215" s="18">
        <v>104910.52</v>
      </c>
      <c r="K215" s="18">
        <v>1800</v>
      </c>
      <c r="L215" s="19">
        <f>SUM(F215:K215)</f>
        <v>6626915.4299999997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1668511.15</v>
      </c>
      <c r="G216" s="18">
        <v>799229.85</v>
      </c>
      <c r="H216" s="18">
        <v>551654.43999999994</v>
      </c>
      <c r="I216" s="18">
        <v>18581.89</v>
      </c>
      <c r="J216" s="18">
        <v>13978.1</v>
      </c>
      <c r="K216" s="18">
        <v>0</v>
      </c>
      <c r="L216" s="19">
        <f>SUM(F216:K216)</f>
        <v>3051955.43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103784.76</v>
      </c>
      <c r="G218" s="18">
        <v>49713.71</v>
      </c>
      <c r="H218" s="18">
        <v>24738.02</v>
      </c>
      <c r="I218" s="18">
        <v>15597.38</v>
      </c>
      <c r="J218" s="18">
        <v>4256.95</v>
      </c>
      <c r="K218" s="18">
        <v>2380</v>
      </c>
      <c r="L218" s="19">
        <f>SUM(F218:K218)</f>
        <v>200470.82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713216.99</v>
      </c>
      <c r="G220" s="18">
        <v>341636.5</v>
      </c>
      <c r="H220" s="18">
        <v>61791.839999999997</v>
      </c>
      <c r="I220" s="18">
        <v>15669.35</v>
      </c>
      <c r="J220" s="18">
        <v>1820.7</v>
      </c>
      <c r="K220" s="18">
        <v>2991.6</v>
      </c>
      <c r="L220" s="19">
        <f t="shared" ref="L220:L226" si="2">SUM(F220:K220)</f>
        <v>1137126.9800000002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124486.25</v>
      </c>
      <c r="G221" s="18">
        <v>90299.34</v>
      </c>
      <c r="H221" s="18">
        <v>27199.3</v>
      </c>
      <c r="I221" s="18">
        <v>38894.730000000003</v>
      </c>
      <c r="J221" s="18">
        <v>4435.6400000000003</v>
      </c>
      <c r="K221" s="18">
        <v>0</v>
      </c>
      <c r="L221" s="19">
        <f t="shared" si="2"/>
        <v>285315.26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130684.27</v>
      </c>
      <c r="G222" s="18">
        <v>62598.79</v>
      </c>
      <c r="H222" s="18">
        <v>402784.11</v>
      </c>
      <c r="I222" s="18">
        <v>2376.65</v>
      </c>
      <c r="J222" s="18">
        <v>1266.68</v>
      </c>
      <c r="K222" s="18">
        <v>6909.6338871823518</v>
      </c>
      <c r="L222" s="19">
        <f t="shared" si="2"/>
        <v>606620.13388718234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574190.42000000004</v>
      </c>
      <c r="G223" s="18">
        <v>275041.69</v>
      </c>
      <c r="H223" s="18">
        <v>26074.06</v>
      </c>
      <c r="I223" s="18">
        <v>42952.31</v>
      </c>
      <c r="J223" s="18">
        <v>17891.3</v>
      </c>
      <c r="K223" s="18">
        <v>5495.2044121753697</v>
      </c>
      <c r="L223" s="19">
        <f t="shared" si="2"/>
        <v>941644.9844121756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12110.62</v>
      </c>
      <c r="I224" s="18">
        <v>0</v>
      </c>
      <c r="J224" s="18">
        <v>0</v>
      </c>
      <c r="K224" s="18">
        <v>0</v>
      </c>
      <c r="L224" s="19">
        <f t="shared" si="2"/>
        <v>12110.62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358543.37</v>
      </c>
      <c r="G225" s="18">
        <v>178154.53</v>
      </c>
      <c r="H225" s="18">
        <v>195447.53</v>
      </c>
      <c r="I225" s="18">
        <v>196084.99</v>
      </c>
      <c r="J225" s="18">
        <v>18680.77</v>
      </c>
      <c r="K225" s="18">
        <v>0</v>
      </c>
      <c r="L225" s="19">
        <f t="shared" si="2"/>
        <v>946911.19000000006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648562.13</v>
      </c>
      <c r="I226" s="18">
        <v>0</v>
      </c>
      <c r="J226" s="18">
        <v>0</v>
      </c>
      <c r="K226" s="18">
        <v>0</v>
      </c>
      <c r="L226" s="19">
        <f t="shared" si="2"/>
        <v>648562.13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33103.81</v>
      </c>
      <c r="G227" s="18">
        <v>15856.98</v>
      </c>
      <c r="H227" s="18">
        <v>5496.24</v>
      </c>
      <c r="I227" s="18">
        <v>46563.89</v>
      </c>
      <c r="J227" s="18">
        <v>10311.040000000001</v>
      </c>
      <c r="K227" s="18">
        <v>0</v>
      </c>
      <c r="L227" s="19">
        <f>SUM(F227:K227)</f>
        <v>111331.95999999999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7952513.8999999985</v>
      </c>
      <c r="G229" s="41">
        <f>SUM(G215:G228)</f>
        <v>3846395.0699999994</v>
      </c>
      <c r="H229" s="41">
        <f>SUM(H215:H228)</f>
        <v>1971766.1500000001</v>
      </c>
      <c r="I229" s="41">
        <f>SUM(I215:I228)</f>
        <v>601161.68000000005</v>
      </c>
      <c r="J229" s="41">
        <f>SUM(J215:J228)</f>
        <v>177551.69999999998</v>
      </c>
      <c r="K229" s="41">
        <f t="shared" si="3"/>
        <v>19576.438299357724</v>
      </c>
      <c r="L229" s="41">
        <f t="shared" si="3"/>
        <v>14568964.93829936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5545957.71</v>
      </c>
      <c r="G233" s="18">
        <v>2656556.9700000002</v>
      </c>
      <c r="H233" s="18">
        <v>66927.839999999997</v>
      </c>
      <c r="I233" s="18">
        <v>448428.08</v>
      </c>
      <c r="J233" s="18">
        <v>177285.89</v>
      </c>
      <c r="K233" s="18">
        <v>3910</v>
      </c>
      <c r="L233" s="19">
        <f>SUM(F233:K233)</f>
        <v>8899066.4900000002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2114009.3199999998</v>
      </c>
      <c r="G234" s="18">
        <v>1012626.94</v>
      </c>
      <c r="H234" s="18">
        <v>1020571.54</v>
      </c>
      <c r="I234" s="18">
        <v>23683.85</v>
      </c>
      <c r="J234" s="18">
        <v>20134.509999999998</v>
      </c>
      <c r="K234" s="18">
        <v>0</v>
      </c>
      <c r="L234" s="19">
        <f>SUM(F234:K234)</f>
        <v>4191026.1599999997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41020.28</v>
      </c>
      <c r="I235" s="18">
        <v>0</v>
      </c>
      <c r="J235" s="18">
        <v>0</v>
      </c>
      <c r="K235" s="18">
        <v>0</v>
      </c>
      <c r="L235" s="19">
        <f>SUM(F235:K235)</f>
        <v>41020.28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307515.07</v>
      </c>
      <c r="G236" s="18">
        <v>147302.12</v>
      </c>
      <c r="H236" s="18">
        <v>92071.65</v>
      </c>
      <c r="I236" s="18">
        <v>60225.64</v>
      </c>
      <c r="J236" s="18">
        <v>19152.7</v>
      </c>
      <c r="K236" s="18">
        <v>82860.570000000007</v>
      </c>
      <c r="L236" s="19">
        <f>SUM(F236:K236)</f>
        <v>709127.75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1186691.33</v>
      </c>
      <c r="G238" s="18">
        <v>568434.39</v>
      </c>
      <c r="H238" s="18">
        <v>94492.83</v>
      </c>
      <c r="I238" s="18">
        <v>24623.72</v>
      </c>
      <c r="J238" s="18">
        <v>4545.37</v>
      </c>
      <c r="K238" s="18">
        <v>4309.2</v>
      </c>
      <c r="L238" s="19">
        <f t="shared" ref="L238:L244" si="4">SUM(F238:K238)</f>
        <v>1883096.8400000003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130010.37</v>
      </c>
      <c r="G239" s="18">
        <v>106453.27</v>
      </c>
      <c r="H239" s="18">
        <v>38905.72</v>
      </c>
      <c r="I239" s="18">
        <v>57139.81</v>
      </c>
      <c r="J239" s="18">
        <v>0</v>
      </c>
      <c r="K239" s="18">
        <v>0</v>
      </c>
      <c r="L239" s="19">
        <f t="shared" si="4"/>
        <v>332509.17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188241.97</v>
      </c>
      <c r="G240" s="18">
        <v>90169.37</v>
      </c>
      <c r="H240" s="18">
        <v>580183.6</v>
      </c>
      <c r="I240" s="18">
        <v>3423.41</v>
      </c>
      <c r="J240" s="18">
        <v>1824.57</v>
      </c>
      <c r="K240" s="18">
        <v>9952.8661407428099</v>
      </c>
      <c r="L240" s="19">
        <f t="shared" si="4"/>
        <v>873795.78614074271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956971.85</v>
      </c>
      <c r="G241" s="18">
        <v>458396.98</v>
      </c>
      <c r="H241" s="18">
        <v>42737.5</v>
      </c>
      <c r="I241" s="18">
        <v>44751.67</v>
      </c>
      <c r="J241" s="18">
        <v>15217.66</v>
      </c>
      <c r="K241" s="18">
        <v>8038.8142976822119</v>
      </c>
      <c r="L241" s="19">
        <f t="shared" si="4"/>
        <v>1526114.4742976821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17444.54</v>
      </c>
      <c r="I242" s="18">
        <v>0</v>
      </c>
      <c r="J242" s="18">
        <v>0</v>
      </c>
      <c r="K242" s="18">
        <v>0</v>
      </c>
      <c r="L242" s="19">
        <f t="shared" si="4"/>
        <v>17444.54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435361.58</v>
      </c>
      <c r="G243" s="18">
        <v>217773.99</v>
      </c>
      <c r="H243" s="18">
        <v>354095.62</v>
      </c>
      <c r="I243" s="18">
        <v>342114.05</v>
      </c>
      <c r="J243" s="18">
        <v>26908.400000000001</v>
      </c>
      <c r="K243" s="18">
        <v>0</v>
      </c>
      <c r="L243" s="19">
        <f t="shared" si="4"/>
        <v>1376253.64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1049429.71</v>
      </c>
      <c r="I244" s="18">
        <v>0</v>
      </c>
      <c r="J244" s="18">
        <v>0</v>
      </c>
      <c r="K244" s="18">
        <v>0</v>
      </c>
      <c r="L244" s="19">
        <f t="shared" si="4"/>
        <v>1049429.71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47683.83</v>
      </c>
      <c r="G245" s="18">
        <v>22840.92</v>
      </c>
      <c r="H245" s="18">
        <v>7916.96</v>
      </c>
      <c r="I245" s="18">
        <v>67072.179999999993</v>
      </c>
      <c r="J245" s="18">
        <v>14852.37</v>
      </c>
      <c r="K245" s="18">
        <v>0</v>
      </c>
      <c r="L245" s="19">
        <f>SUM(F245:K245)</f>
        <v>160366.26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10912443.029999999</v>
      </c>
      <c r="G247" s="41">
        <f t="shared" si="5"/>
        <v>5280554.9499999993</v>
      </c>
      <c r="H247" s="41">
        <f t="shared" si="5"/>
        <v>3405797.79</v>
      </c>
      <c r="I247" s="41">
        <f t="shared" si="5"/>
        <v>1071462.4099999999</v>
      </c>
      <c r="J247" s="41">
        <f t="shared" si="5"/>
        <v>279921.47000000003</v>
      </c>
      <c r="K247" s="41">
        <f t="shared" si="5"/>
        <v>109071.45043842503</v>
      </c>
      <c r="L247" s="41">
        <f t="shared" si="5"/>
        <v>21059251.100438427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116759.82</v>
      </c>
      <c r="G251" s="18">
        <v>55928.86</v>
      </c>
      <c r="H251" s="18">
        <v>80</v>
      </c>
      <c r="I251" s="18">
        <v>24866.66</v>
      </c>
      <c r="J251" s="18">
        <v>0</v>
      </c>
      <c r="K251" s="18">
        <v>0</v>
      </c>
      <c r="L251" s="19">
        <f t="shared" si="6"/>
        <v>197635.34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>
        <f>415078.85+644648.19-0.0387377887964249</f>
        <v>1059727.0012622112</v>
      </c>
      <c r="L255" s="19">
        <f t="shared" si="6"/>
        <v>1059727.0012622112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116759.82</v>
      </c>
      <c r="G256" s="41">
        <f t="shared" si="7"/>
        <v>55928.86</v>
      </c>
      <c r="H256" s="41">
        <f t="shared" si="7"/>
        <v>80</v>
      </c>
      <c r="I256" s="41">
        <f t="shared" si="7"/>
        <v>24866.66</v>
      </c>
      <c r="J256" s="41">
        <f t="shared" si="7"/>
        <v>0</v>
      </c>
      <c r="K256" s="41">
        <f t="shared" si="7"/>
        <v>1059727.0012622112</v>
      </c>
      <c r="L256" s="41">
        <f>SUM(F256:K256)</f>
        <v>1257362.3412622113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32834089.460000001</v>
      </c>
      <c r="G257" s="41">
        <f t="shared" si="8"/>
        <v>15887567.649999999</v>
      </c>
      <c r="H257" s="41">
        <f t="shared" si="8"/>
        <v>8506565.3200000003</v>
      </c>
      <c r="I257" s="41">
        <f t="shared" si="8"/>
        <v>2838120.0300000003</v>
      </c>
      <c r="J257" s="41">
        <f t="shared" si="8"/>
        <v>810782.66999999993</v>
      </c>
      <c r="K257" s="41">
        <f t="shared" si="8"/>
        <v>1216886.6199999941</v>
      </c>
      <c r="L257" s="41">
        <f t="shared" si="8"/>
        <v>62094011.749999993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f>1600000</f>
        <v>1600000</v>
      </c>
      <c r="L260" s="19">
        <f>SUM(F260:K260)</f>
        <v>1600000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294000</v>
      </c>
      <c r="L261" s="19">
        <f>SUM(F261:K261)</f>
        <v>294000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13588</v>
      </c>
      <c r="L263" s="19">
        <f>SUM(F263:K263)</f>
        <v>13588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2348.4699999999998</v>
      </c>
      <c r="L264" s="19">
        <f t="shared" ref="L264:L270" si="9">SUM(F264:K264)</f>
        <v>2348.4699999999998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250000</v>
      </c>
      <c r="L266" s="19">
        <f t="shared" si="9"/>
        <v>250000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2159936.4699999997</v>
      </c>
      <c r="L270" s="41">
        <f t="shared" si="9"/>
        <v>2159936.4699999997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32834089.460000001</v>
      </c>
      <c r="G271" s="42">
        <f t="shared" si="11"/>
        <v>15887567.649999999</v>
      </c>
      <c r="H271" s="42">
        <f t="shared" si="11"/>
        <v>8506565.3200000003</v>
      </c>
      <c r="I271" s="42">
        <f t="shared" si="11"/>
        <v>2838120.0300000003</v>
      </c>
      <c r="J271" s="42">
        <f t="shared" si="11"/>
        <v>810782.66999999993</v>
      </c>
      <c r="K271" s="42">
        <f t="shared" si="11"/>
        <v>3376823.0899999938</v>
      </c>
      <c r="L271" s="42">
        <f t="shared" si="11"/>
        <v>64253948.219999991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298405.46999999997</v>
      </c>
      <c r="G276" s="18">
        <f>23626.23+1</f>
        <v>23627.23</v>
      </c>
      <c r="H276" s="18">
        <v>0</v>
      </c>
      <c r="I276" s="18">
        <v>25675.599999999999</v>
      </c>
      <c r="J276" s="18">
        <f>23592.92+1</f>
        <v>23593.919999999998</v>
      </c>
      <c r="K276" s="18">
        <v>0</v>
      </c>
      <c r="L276" s="19">
        <f>SUM(F276:K276)</f>
        <v>371302.21999999991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305173.56</v>
      </c>
      <c r="G277" s="18">
        <v>108.14</v>
      </c>
      <c r="H277" s="18">
        <f>97770.52+0.5</f>
        <v>97771.02</v>
      </c>
      <c r="I277" s="18">
        <v>7455.47</v>
      </c>
      <c r="J277" s="18">
        <v>6013.52</v>
      </c>
      <c r="K277" s="18">
        <v>0</v>
      </c>
      <c r="L277" s="19">
        <f>SUM(F277:K277)</f>
        <v>416521.71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466.2</v>
      </c>
      <c r="J279" s="18">
        <v>5196</v>
      </c>
      <c r="K279" s="18">
        <v>0</v>
      </c>
      <c r="L279" s="19">
        <f>SUM(F279:K279)</f>
        <v>5662.2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1273.31</v>
      </c>
      <c r="K281" s="18">
        <v>0</v>
      </c>
      <c r="L281" s="19">
        <f t="shared" ref="L281:L287" si="12">SUM(F281:K281)</f>
        <v>1273.31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18276.05</v>
      </c>
      <c r="G282" s="18">
        <v>945.93</v>
      </c>
      <c r="H282" s="18">
        <v>56266.91</v>
      </c>
      <c r="I282" s="18">
        <v>0</v>
      </c>
      <c r="J282" s="18">
        <v>0</v>
      </c>
      <c r="K282" s="18">
        <v>50</v>
      </c>
      <c r="L282" s="19">
        <f t="shared" si="12"/>
        <v>75538.89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607.15</v>
      </c>
      <c r="J286" s="18">
        <v>8377.1299999999992</v>
      </c>
      <c r="K286" s="18">
        <v>0</v>
      </c>
      <c r="L286" s="19">
        <f t="shared" si="12"/>
        <v>8984.2799999999988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4859.82</v>
      </c>
      <c r="I287" s="18">
        <v>0</v>
      </c>
      <c r="J287" s="18">
        <v>0</v>
      </c>
      <c r="K287" s="18">
        <v>0</v>
      </c>
      <c r="L287" s="19">
        <f t="shared" si="12"/>
        <v>4859.82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621855.08000000007</v>
      </c>
      <c r="G290" s="42">
        <f t="shared" si="13"/>
        <v>24681.3</v>
      </c>
      <c r="H290" s="42">
        <f t="shared" si="13"/>
        <v>158897.75</v>
      </c>
      <c r="I290" s="42">
        <f t="shared" si="13"/>
        <v>34204.42</v>
      </c>
      <c r="J290" s="42">
        <f t="shared" si="13"/>
        <v>44453.88</v>
      </c>
      <c r="K290" s="42">
        <f t="shared" si="13"/>
        <v>50</v>
      </c>
      <c r="L290" s="41">
        <f t="shared" si="13"/>
        <v>884142.42999999993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530.1</v>
      </c>
      <c r="J295" s="18">
        <v>0</v>
      </c>
      <c r="K295" s="18">
        <v>0</v>
      </c>
      <c r="L295" s="19">
        <f>SUM(F295:K295)</f>
        <v>530.1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162794.76999999999</v>
      </c>
      <c r="G296" s="18">
        <v>57.69</v>
      </c>
      <c r="H296" s="18">
        <v>41425.69</v>
      </c>
      <c r="I296" s="18">
        <f>2935.14+1</f>
        <v>2936.14</v>
      </c>
      <c r="J296" s="18">
        <v>2462.6003909522478</v>
      </c>
      <c r="K296" s="18">
        <v>0</v>
      </c>
      <c r="L296" s="19">
        <f>SUM(F296:K296)</f>
        <v>209676.89039095226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249.46</v>
      </c>
      <c r="J298" s="18">
        <v>0</v>
      </c>
      <c r="K298" s="18">
        <v>0</v>
      </c>
      <c r="L298" s="19">
        <f>SUM(F298:K298)</f>
        <v>249.46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9779.39</v>
      </c>
      <c r="G301" s="18">
        <v>506.17</v>
      </c>
      <c r="H301" s="18">
        <f>19526.32+1</f>
        <v>19527.32</v>
      </c>
      <c r="I301" s="18">
        <v>0</v>
      </c>
      <c r="J301" s="18">
        <v>0</v>
      </c>
      <c r="K301" s="18">
        <v>0</v>
      </c>
      <c r="L301" s="19">
        <f t="shared" si="14"/>
        <v>29812.879999999997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324.88</v>
      </c>
      <c r="J305" s="18">
        <v>3977.1089137112535</v>
      </c>
      <c r="K305" s="18">
        <v>0</v>
      </c>
      <c r="L305" s="19">
        <f t="shared" si="14"/>
        <v>4301.9889137112532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172574.15999999997</v>
      </c>
      <c r="G309" s="42">
        <f t="shared" si="15"/>
        <v>563.86</v>
      </c>
      <c r="H309" s="42">
        <f t="shared" si="15"/>
        <v>60953.01</v>
      </c>
      <c r="I309" s="42">
        <f t="shared" si="15"/>
        <v>4040.58</v>
      </c>
      <c r="J309" s="42">
        <f t="shared" si="15"/>
        <v>6439.7093046635018</v>
      </c>
      <c r="K309" s="42">
        <f t="shared" si="15"/>
        <v>0</v>
      </c>
      <c r="L309" s="41">
        <f t="shared" si="15"/>
        <v>244571.31930466351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1000</v>
      </c>
      <c r="G314" s="18">
        <v>0.35</v>
      </c>
      <c r="H314" s="18">
        <v>0</v>
      </c>
      <c r="I314" s="18">
        <v>1004.62</v>
      </c>
      <c r="J314" s="18">
        <v>2581.2600000000002</v>
      </c>
      <c r="K314" s="18">
        <v>0</v>
      </c>
      <c r="L314" s="19">
        <f>SUM(F314:K314)</f>
        <v>4586.2300000000005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235420.8+1+0.000695336610078812</f>
        <v>235421.8006953366</v>
      </c>
      <c r="G315" s="18">
        <v>83.42</v>
      </c>
      <c r="H315" s="18">
        <v>60173</v>
      </c>
      <c r="I315" s="18">
        <v>4579.76</v>
      </c>
      <c r="J315" s="18">
        <v>3547.21</v>
      </c>
      <c r="K315" s="18">
        <v>0</v>
      </c>
      <c r="L315" s="19">
        <f>SUM(F315:K315)</f>
        <v>303805.19069533661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2282.27</v>
      </c>
      <c r="J317" s="18">
        <v>805.02</v>
      </c>
      <c r="K317" s="18">
        <v>0</v>
      </c>
      <c r="L317" s="19">
        <f>SUM(F317:K317)</f>
        <v>3087.29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1000</v>
      </c>
      <c r="J319" s="18">
        <v>0</v>
      </c>
      <c r="K319" s="18">
        <v>0</v>
      </c>
      <c r="L319" s="19">
        <f t="shared" ref="L319:L325" si="16">SUM(F319:K319)</f>
        <v>1000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14086.56</v>
      </c>
      <c r="G320" s="18">
        <v>729.09</v>
      </c>
      <c r="H320" s="18">
        <v>28126.36</v>
      </c>
      <c r="I320" s="18">
        <v>0</v>
      </c>
      <c r="J320" s="18">
        <v>0</v>
      </c>
      <c r="K320" s="18">
        <v>0</v>
      </c>
      <c r="L320" s="19">
        <f t="shared" si="16"/>
        <v>42942.01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467.97</v>
      </c>
      <c r="J324" s="18">
        <v>5728.76</v>
      </c>
      <c r="K324" s="18">
        <v>0</v>
      </c>
      <c r="L324" s="19">
        <f t="shared" si="16"/>
        <v>6196.7300000000005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250508.3606953366</v>
      </c>
      <c r="G328" s="42">
        <f t="shared" si="17"/>
        <v>812.86</v>
      </c>
      <c r="H328" s="42">
        <f t="shared" si="17"/>
        <v>88299.36</v>
      </c>
      <c r="I328" s="42">
        <f t="shared" si="17"/>
        <v>9334.619999999999</v>
      </c>
      <c r="J328" s="42">
        <f t="shared" si="17"/>
        <v>12662.25</v>
      </c>
      <c r="K328" s="42">
        <f t="shared" si="17"/>
        <v>0</v>
      </c>
      <c r="L328" s="41">
        <f t="shared" si="17"/>
        <v>361617.45069533656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15485.24</v>
      </c>
      <c r="G335" s="18">
        <v>0</v>
      </c>
      <c r="H335" s="18">
        <v>18601.64</v>
      </c>
      <c r="I335" s="18">
        <v>5797.46</v>
      </c>
      <c r="J335" s="18">
        <v>4225.24</v>
      </c>
      <c r="K335" s="18"/>
      <c r="L335" s="19">
        <f t="shared" si="18"/>
        <v>44109.579999999994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>
        <v>6008</v>
      </c>
      <c r="I336" s="18"/>
      <c r="J336" s="18"/>
      <c r="K336" s="18"/>
      <c r="L336" s="19">
        <f t="shared" si="18"/>
        <v>6008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15485.24</v>
      </c>
      <c r="G337" s="41">
        <f t="shared" si="19"/>
        <v>0</v>
      </c>
      <c r="H337" s="41">
        <f t="shared" si="19"/>
        <v>24609.64</v>
      </c>
      <c r="I337" s="41">
        <f t="shared" si="19"/>
        <v>5797.46</v>
      </c>
      <c r="J337" s="41">
        <f t="shared" si="19"/>
        <v>4225.24</v>
      </c>
      <c r="K337" s="41">
        <f t="shared" si="19"/>
        <v>0</v>
      </c>
      <c r="L337" s="41">
        <f t="shared" si="18"/>
        <v>50117.579999999994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1060422.8406953367</v>
      </c>
      <c r="G338" s="41">
        <f t="shared" si="20"/>
        <v>26058.02</v>
      </c>
      <c r="H338" s="41">
        <f t="shared" si="20"/>
        <v>332759.76</v>
      </c>
      <c r="I338" s="41">
        <f t="shared" si="20"/>
        <v>53377.079999999994</v>
      </c>
      <c r="J338" s="41">
        <f t="shared" si="20"/>
        <v>67781.079304663508</v>
      </c>
      <c r="K338" s="41">
        <f t="shared" si="20"/>
        <v>50</v>
      </c>
      <c r="L338" s="41">
        <f t="shared" si="20"/>
        <v>1540448.78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1060422.8406953367</v>
      </c>
      <c r="G352" s="41">
        <f>G338</f>
        <v>26058.02</v>
      </c>
      <c r="H352" s="41">
        <f>H338</f>
        <v>332759.76</v>
      </c>
      <c r="I352" s="41">
        <f>I338</f>
        <v>53377.079999999994</v>
      </c>
      <c r="J352" s="41">
        <f>J338</f>
        <v>67781.079304663508</v>
      </c>
      <c r="K352" s="47">
        <f>K338+K351</f>
        <v>50</v>
      </c>
      <c r="L352" s="41">
        <f>L338+L351</f>
        <v>1540448.78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279673.55+1</f>
        <v>279674.55</v>
      </c>
      <c r="G358" s="18">
        <v>20258.439999999999</v>
      </c>
      <c r="H358" s="18">
        <v>2125.34</v>
      </c>
      <c r="I358" s="18">
        <v>266580.28999999998</v>
      </c>
      <c r="J358" s="18">
        <v>0</v>
      </c>
      <c r="K358" s="18">
        <v>15178.72</v>
      </c>
      <c r="L358" s="13">
        <f>SUM(F358:K358)</f>
        <v>583817.34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148415.64000000001</v>
      </c>
      <c r="G359" s="18">
        <f>10750.64+1</f>
        <v>10751.64</v>
      </c>
      <c r="H359" s="18">
        <v>1767.7</v>
      </c>
      <c r="I359" s="18">
        <v>140182.98000000001</v>
      </c>
      <c r="J359" s="18">
        <v>0</v>
      </c>
      <c r="K359" s="18">
        <v>8122.03</v>
      </c>
      <c r="L359" s="19">
        <f>SUM(F359:K359)</f>
        <v>309239.99000000011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219232.77</v>
      </c>
      <c r="G360" s="18">
        <f>15880.35+0.99</f>
        <v>15881.34</v>
      </c>
      <c r="H360" s="18">
        <v>2003.57</v>
      </c>
      <c r="I360" s="18">
        <f>206171.21</f>
        <v>206171.21</v>
      </c>
      <c r="J360" s="18">
        <v>0</v>
      </c>
      <c r="K360" s="18">
        <v>11699.25</v>
      </c>
      <c r="L360" s="19">
        <f>SUM(F360:K360)</f>
        <v>454988.14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647322.96</v>
      </c>
      <c r="G362" s="47">
        <f t="shared" si="22"/>
        <v>46891.42</v>
      </c>
      <c r="H362" s="47">
        <f t="shared" si="22"/>
        <v>5896.61</v>
      </c>
      <c r="I362" s="47">
        <f t="shared" si="22"/>
        <v>612934.48</v>
      </c>
      <c r="J362" s="47">
        <f t="shared" si="22"/>
        <v>0</v>
      </c>
      <c r="K362" s="47">
        <f t="shared" si="22"/>
        <v>35000</v>
      </c>
      <c r="L362" s="47">
        <f t="shared" si="22"/>
        <v>1348045.4700000002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200649.23</f>
        <v>200649.23</v>
      </c>
      <c r="G367" s="18">
        <f>107366.07+0.0099999998928979</f>
        <v>107366.0799999999</v>
      </c>
      <c r="H367" s="18">
        <v>154653.66</v>
      </c>
      <c r="I367" s="56">
        <f>SUM(F367:H367)</f>
        <v>462668.97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65931.06</v>
      </c>
      <c r="G368" s="63">
        <v>32816.9</v>
      </c>
      <c r="H368" s="63">
        <v>51517.55</v>
      </c>
      <c r="I368" s="56">
        <f>SUM(F368:H368)</f>
        <v>150265.51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266580.29000000004</v>
      </c>
      <c r="G369" s="47">
        <f>SUM(G367:G368)</f>
        <v>140182.97999999989</v>
      </c>
      <c r="H369" s="47">
        <f>SUM(H367:H368)</f>
        <v>206171.21000000002</v>
      </c>
      <c r="I369" s="47">
        <f>SUM(I367:I368)</f>
        <v>612934.48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250000</v>
      </c>
      <c r="H388" s="18">
        <v>6592.22</v>
      </c>
      <c r="I388" s="18"/>
      <c r="J388" s="24" t="s">
        <v>288</v>
      </c>
      <c r="K388" s="24" t="s">
        <v>288</v>
      </c>
      <c r="L388" s="56">
        <f t="shared" si="25"/>
        <v>256592.22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>
        <v>17635</v>
      </c>
      <c r="J392" s="24" t="s">
        <v>288</v>
      </c>
      <c r="K392" s="24" t="s">
        <v>288</v>
      </c>
      <c r="L392" s="56">
        <f t="shared" si="25"/>
        <v>17635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250000</v>
      </c>
      <c r="H393" s="139">
        <f>SUM(H387:H392)</f>
        <v>6592.22</v>
      </c>
      <c r="I393" s="65">
        <f>SUM(I387:I392)</f>
        <v>17635</v>
      </c>
      <c r="J393" s="45" t="s">
        <v>288</v>
      </c>
      <c r="K393" s="45" t="s">
        <v>288</v>
      </c>
      <c r="L393" s="47">
        <f>SUM(L387:L392)</f>
        <v>274227.21999999997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250000</v>
      </c>
      <c r="H408" s="47">
        <f>H393+H401+H407</f>
        <v>6592.22</v>
      </c>
      <c r="I408" s="47">
        <f>I393+I401+I407</f>
        <v>17635</v>
      </c>
      <c r="J408" s="24" t="s">
        <v>288</v>
      </c>
      <c r="K408" s="24" t="s">
        <v>288</v>
      </c>
      <c r="L408" s="47">
        <f>L393+L401+L407</f>
        <v>274227.21999999997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>
        <v>17579.189999999999</v>
      </c>
      <c r="J426" s="18">
        <v>18616</v>
      </c>
      <c r="K426" s="18"/>
      <c r="L426" s="56">
        <f t="shared" si="29"/>
        <v>36195.19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17579.189999999999</v>
      </c>
      <c r="J427" s="47">
        <f t="shared" si="30"/>
        <v>18616</v>
      </c>
      <c r="K427" s="47">
        <f t="shared" si="30"/>
        <v>0</v>
      </c>
      <c r="L427" s="47">
        <f t="shared" si="30"/>
        <v>36195.19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17579.189999999999</v>
      </c>
      <c r="J434" s="47">
        <f t="shared" si="32"/>
        <v>18616</v>
      </c>
      <c r="K434" s="47">
        <f t="shared" si="32"/>
        <v>0</v>
      </c>
      <c r="L434" s="47">
        <f t="shared" si="32"/>
        <v>36195.19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12057.91</v>
      </c>
      <c r="H441" s="18"/>
      <c r="I441" s="56">
        <f t="shared" si="33"/>
        <v>12057.91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1415230.93</v>
      </c>
      <c r="G442" s="18"/>
      <c r="H442" s="18"/>
      <c r="I442" s="56">
        <f t="shared" si="33"/>
        <v>1415230.93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1415230.93</v>
      </c>
      <c r="G446" s="13">
        <f>SUM(G439:G445)</f>
        <v>12057.91</v>
      </c>
      <c r="H446" s="13">
        <f>SUM(H439:H445)</f>
        <v>0</v>
      </c>
      <c r="I446" s="13">
        <f>SUM(I439:I445)</f>
        <v>1427288.8399999999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1408638.71+6592.22</f>
        <v>1415230.93</v>
      </c>
      <c r="G459" s="18">
        <f>30618.1-18560.19</f>
        <v>12057.91</v>
      </c>
      <c r="H459" s="18"/>
      <c r="I459" s="56">
        <f t="shared" si="34"/>
        <v>1427288.8399999999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1415230.93</v>
      </c>
      <c r="G460" s="83">
        <f>SUM(G454:G459)</f>
        <v>12057.91</v>
      </c>
      <c r="H460" s="83">
        <f>SUM(H454:H459)</f>
        <v>0</v>
      </c>
      <c r="I460" s="83">
        <f>SUM(I454:I459)</f>
        <v>1427288.8399999999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1415230.93</v>
      </c>
      <c r="G461" s="42">
        <f>G452+G460</f>
        <v>12057.91</v>
      </c>
      <c r="H461" s="42">
        <f>H452+H460</f>
        <v>0</v>
      </c>
      <c r="I461" s="42">
        <f>I452+I460</f>
        <v>1427288.8399999999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4315554.76</v>
      </c>
      <c r="G465" s="18"/>
      <c r="H465" s="18">
        <v>0</v>
      </c>
      <c r="I465" s="18"/>
      <c r="J465" s="18">
        <v>1189256.81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63188192.280000001</v>
      </c>
      <c r="G468" s="18">
        <v>1348045.47</v>
      </c>
      <c r="H468" s="18">
        <f>1489434.9+6528.53+44485.35</f>
        <v>1540448.78</v>
      </c>
      <c r="I468" s="18"/>
      <c r="J468" s="18">
        <f>6592.22+17635+250000</f>
        <v>274227.21999999997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63188192.280000001</v>
      </c>
      <c r="G470" s="53">
        <f>SUM(G468:G469)</f>
        <v>1348045.47</v>
      </c>
      <c r="H470" s="53">
        <f>SUM(H468:H469)</f>
        <v>1540448.78</v>
      </c>
      <c r="I470" s="53">
        <f>SUM(I468:I469)</f>
        <v>0</v>
      </c>
      <c r="J470" s="53">
        <f>SUM(J468:J469)</f>
        <v>274227.21999999997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64253948.22-7.45058059692383E-09</f>
        <v>64253948.219999991</v>
      </c>
      <c r="G472" s="18">
        <v>1348045.47</v>
      </c>
      <c r="H472" s="18">
        <f>1489434.9+6528.53+44485.35</f>
        <v>1540448.78</v>
      </c>
      <c r="I472" s="18"/>
      <c r="J472" s="18">
        <f>36195.19</f>
        <v>36195.19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64253948.219999991</v>
      </c>
      <c r="G474" s="53">
        <f>SUM(G472:G473)</f>
        <v>1348045.47</v>
      </c>
      <c r="H474" s="53">
        <f>SUM(H472:H473)</f>
        <v>1540448.78</v>
      </c>
      <c r="I474" s="53">
        <f>SUM(I472:I473)</f>
        <v>0</v>
      </c>
      <c r="J474" s="53">
        <f>SUM(J472:J473)</f>
        <v>36195.19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3249798.8200000152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1427288.84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32000000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275" t="s">
        <v>914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6400000</v>
      </c>
      <c r="G495" s="18"/>
      <c r="H495" s="18"/>
      <c r="I495" s="18"/>
      <c r="J495" s="18"/>
      <c r="K495" s="53">
        <f>SUM(F495:J495)</f>
        <v>6400000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1600000</v>
      </c>
      <c r="G497" s="18"/>
      <c r="H497" s="18"/>
      <c r="I497" s="18"/>
      <c r="J497" s="18"/>
      <c r="K497" s="53">
        <f t="shared" si="35"/>
        <v>1600000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5178000</v>
      </c>
      <c r="G498" s="204"/>
      <c r="H498" s="204"/>
      <c r="I498" s="204"/>
      <c r="J498" s="204"/>
      <c r="K498" s="205">
        <f t="shared" si="35"/>
        <v>5178000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378000</v>
      </c>
      <c r="G499" s="18"/>
      <c r="H499" s="18"/>
      <c r="I499" s="18"/>
      <c r="J499" s="18"/>
      <c r="K499" s="53">
        <f t="shared" si="35"/>
        <v>378000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5556000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5556000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1600000</v>
      </c>
      <c r="G501" s="204"/>
      <c r="H501" s="204"/>
      <c r="I501" s="204"/>
      <c r="J501" s="204"/>
      <c r="K501" s="205">
        <f t="shared" si="35"/>
        <v>1600000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210000</v>
      </c>
      <c r="G502" s="18"/>
      <c r="H502" s="18"/>
      <c r="I502" s="18"/>
      <c r="J502" s="18"/>
      <c r="K502" s="53">
        <f t="shared" si="35"/>
        <v>210000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1810000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1810000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2492509.59</v>
      </c>
      <c r="G521" s="18">
        <v>1047859.15</v>
      </c>
      <c r="H521" s="18">
        <v>575734.39</v>
      </c>
      <c r="I521" s="18">
        <v>34192.82</v>
      </c>
      <c r="J521" s="18">
        <v>32136.240000000002</v>
      </c>
      <c r="K521" s="18"/>
      <c r="L521" s="88">
        <f>SUM(F521:K521)</f>
        <v>4182432.19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1700568.04</v>
      </c>
      <c r="G522" s="18">
        <v>736677.45</v>
      </c>
      <c r="H522" s="18">
        <v>590992.06999999995</v>
      </c>
      <c r="I522" s="18">
        <v>21385.65</v>
      </c>
      <c r="J522" s="18">
        <v>16440.7</v>
      </c>
      <c r="K522" s="18"/>
      <c r="L522" s="88">
        <f>SUM(F522:K522)</f>
        <v>3066063.91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2161167.98</v>
      </c>
      <c r="G523" s="18">
        <v>922531.32</v>
      </c>
      <c r="H523" s="18">
        <v>1077737.04</v>
      </c>
      <c r="I523" s="18">
        <v>28074.37</v>
      </c>
      <c r="J523" s="18">
        <v>23681.72</v>
      </c>
      <c r="K523" s="18"/>
      <c r="L523" s="88">
        <f>SUM(F523:K523)</f>
        <v>4213192.43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6354245.6099999994</v>
      </c>
      <c r="G524" s="108">
        <f t="shared" ref="G524:L524" si="36">SUM(G521:G523)</f>
        <v>2707067.92</v>
      </c>
      <c r="H524" s="108">
        <f t="shared" si="36"/>
        <v>2244463.5</v>
      </c>
      <c r="I524" s="108">
        <f t="shared" si="36"/>
        <v>83652.84</v>
      </c>
      <c r="J524" s="108">
        <f t="shared" si="36"/>
        <v>72258.66</v>
      </c>
      <c r="K524" s="108">
        <f t="shared" si="36"/>
        <v>0</v>
      </c>
      <c r="L524" s="89">
        <f t="shared" si="36"/>
        <v>11461688.529999999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488958.7</v>
      </c>
      <c r="G526" s="18">
        <v>234215.03</v>
      </c>
      <c r="H526" s="18">
        <v>93287.81</v>
      </c>
      <c r="I526" s="18">
        <v>20882.8</v>
      </c>
      <c r="J526" s="18">
        <v>1861.57</v>
      </c>
      <c r="K526" s="18">
        <v>6137.69</v>
      </c>
      <c r="L526" s="88">
        <f>SUM(F526:K526)</f>
        <v>845343.6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261732.74</v>
      </c>
      <c r="G527" s="18">
        <v>125372.02</v>
      </c>
      <c r="H527" s="18">
        <v>49935.55</v>
      </c>
      <c r="I527" s="18">
        <v>11178.27</v>
      </c>
      <c r="J527" s="18">
        <v>996.47</v>
      </c>
      <c r="K527" s="18">
        <v>3285.42</v>
      </c>
      <c r="L527" s="88">
        <f>SUM(F527:K527)</f>
        <v>452500.47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376980.85</v>
      </c>
      <c r="G528" s="18">
        <v>180576.77</v>
      </c>
      <c r="H528" s="18">
        <v>71923.539999999994</v>
      </c>
      <c r="I528" s="18">
        <v>16100.37</v>
      </c>
      <c r="J528" s="18">
        <v>1435.24</v>
      </c>
      <c r="K528" s="18">
        <v>4732.08</v>
      </c>
      <c r="L528" s="88">
        <f>SUM(F528:K528)</f>
        <v>651748.85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1127672.29</v>
      </c>
      <c r="G529" s="89">
        <f t="shared" ref="G529:L529" si="37">SUM(G526:G528)</f>
        <v>540163.81999999995</v>
      </c>
      <c r="H529" s="89">
        <f t="shared" si="37"/>
        <v>215146.89999999997</v>
      </c>
      <c r="I529" s="89">
        <f t="shared" si="37"/>
        <v>48161.440000000002</v>
      </c>
      <c r="J529" s="89">
        <f t="shared" si="37"/>
        <v>4293.28</v>
      </c>
      <c r="K529" s="89">
        <f t="shared" si="37"/>
        <v>14155.19</v>
      </c>
      <c r="L529" s="89">
        <f t="shared" si="37"/>
        <v>1949592.92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244183.27</v>
      </c>
      <c r="G531" s="18">
        <v>116965.69</v>
      </c>
      <c r="H531" s="18">
        <v>3900.83</v>
      </c>
      <c r="I531" s="18">
        <v>245.45</v>
      </c>
      <c r="J531" s="18"/>
      <c r="K531" s="18"/>
      <c r="L531" s="88">
        <f>SUM(F531:K531)</f>
        <v>365295.24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130707.88</v>
      </c>
      <c r="G532" s="18">
        <v>62610.09</v>
      </c>
      <c r="H532" s="18">
        <v>2088.06</v>
      </c>
      <c r="I532" s="18">
        <v>131.38</v>
      </c>
      <c r="J532" s="18"/>
      <c r="K532" s="18"/>
      <c r="L532" s="88">
        <f>SUM(F532:K532)</f>
        <v>195537.41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188262.14</v>
      </c>
      <c r="G533" s="18">
        <v>90179.04</v>
      </c>
      <c r="H533" s="18">
        <v>3007.5</v>
      </c>
      <c r="I533" s="18">
        <v>189.24</v>
      </c>
      <c r="J533" s="18"/>
      <c r="K533" s="18"/>
      <c r="L533" s="88">
        <f>SUM(F533:K533)</f>
        <v>281637.92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563153.29</v>
      </c>
      <c r="G534" s="89">
        <f t="shared" ref="G534:L534" si="38">SUM(G531:G533)</f>
        <v>269754.82</v>
      </c>
      <c r="H534" s="89">
        <f t="shared" si="38"/>
        <v>8996.39</v>
      </c>
      <c r="I534" s="89">
        <f t="shared" si="38"/>
        <v>566.06999999999994</v>
      </c>
      <c r="J534" s="89">
        <f t="shared" si="38"/>
        <v>0</v>
      </c>
      <c r="K534" s="89">
        <f t="shared" si="38"/>
        <v>0</v>
      </c>
      <c r="L534" s="89">
        <f t="shared" si="38"/>
        <v>842470.57000000007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37113.94</v>
      </c>
      <c r="I536" s="18"/>
      <c r="J536" s="18"/>
      <c r="K536" s="18"/>
      <c r="L536" s="88">
        <f>SUM(F536:K536)</f>
        <v>37113.94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19866.57</v>
      </c>
      <c r="I537" s="18"/>
      <c r="J537" s="18"/>
      <c r="K537" s="18"/>
      <c r="L537" s="88">
        <f>SUM(F537:K537)</f>
        <v>19866.57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28614.37</v>
      </c>
      <c r="I538" s="18"/>
      <c r="J538" s="18"/>
      <c r="K538" s="18"/>
      <c r="L538" s="88">
        <f>SUM(F538:K538)</f>
        <v>28614.37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85594.880000000005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85594.880000000005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342844.22</v>
      </c>
      <c r="I541" s="18"/>
      <c r="J541" s="18"/>
      <c r="K541" s="18"/>
      <c r="L541" s="88">
        <f>SUM(F541:K541)</f>
        <v>342844.22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183519.71</v>
      </c>
      <c r="I542" s="18"/>
      <c r="J542" s="18"/>
      <c r="K542" s="18"/>
      <c r="L542" s="88">
        <f>SUM(F542:K542)</f>
        <v>183519.71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264328.46999999997</v>
      </c>
      <c r="I543" s="18"/>
      <c r="J543" s="18"/>
      <c r="K543" s="18"/>
      <c r="L543" s="88">
        <f>SUM(F543:K543)</f>
        <v>264328.46999999997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790692.39999999991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790692.39999999991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8045071.1899999995</v>
      </c>
      <c r="G545" s="89">
        <f t="shared" ref="G545:L545" si="41">G524+G529+G534+G539+G544</f>
        <v>3516986.5599999996</v>
      </c>
      <c r="H545" s="89">
        <f t="shared" si="41"/>
        <v>3344894.07</v>
      </c>
      <c r="I545" s="89">
        <f t="shared" si="41"/>
        <v>132380.35</v>
      </c>
      <c r="J545" s="89">
        <f t="shared" si="41"/>
        <v>76551.94</v>
      </c>
      <c r="K545" s="89">
        <f t="shared" si="41"/>
        <v>14155.19</v>
      </c>
      <c r="L545" s="89">
        <f t="shared" si="41"/>
        <v>15130039.300000001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4182432.19</v>
      </c>
      <c r="G549" s="87">
        <f>L526</f>
        <v>845343.6</v>
      </c>
      <c r="H549" s="87">
        <f>L531</f>
        <v>365295.24</v>
      </c>
      <c r="I549" s="87">
        <f>L536</f>
        <v>37113.94</v>
      </c>
      <c r="J549" s="87">
        <f>L541</f>
        <v>342844.22</v>
      </c>
      <c r="K549" s="87">
        <f>SUM(F549:J549)</f>
        <v>5773029.1900000004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3066063.91</v>
      </c>
      <c r="G550" s="87">
        <f>L527</f>
        <v>452500.47</v>
      </c>
      <c r="H550" s="87">
        <f>L532</f>
        <v>195537.41</v>
      </c>
      <c r="I550" s="87">
        <f>L537</f>
        <v>19866.57</v>
      </c>
      <c r="J550" s="87">
        <f>L542</f>
        <v>183519.71</v>
      </c>
      <c r="K550" s="87">
        <f>SUM(F550:J550)</f>
        <v>3917488.07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4213192.43</v>
      </c>
      <c r="G551" s="87">
        <f>L528</f>
        <v>651748.85</v>
      </c>
      <c r="H551" s="87">
        <f>L533</f>
        <v>281637.92</v>
      </c>
      <c r="I551" s="87">
        <f>L538</f>
        <v>28614.37</v>
      </c>
      <c r="J551" s="87">
        <f>L543</f>
        <v>264328.46999999997</v>
      </c>
      <c r="K551" s="87">
        <f>SUM(F551:J551)</f>
        <v>5439522.0399999991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11461688.529999999</v>
      </c>
      <c r="G552" s="89">
        <f t="shared" si="42"/>
        <v>1949592.92</v>
      </c>
      <c r="H552" s="89">
        <f t="shared" si="42"/>
        <v>842470.57000000007</v>
      </c>
      <c r="I552" s="89">
        <f t="shared" si="42"/>
        <v>85594.880000000005</v>
      </c>
      <c r="J552" s="89">
        <f t="shared" si="42"/>
        <v>790692.39999999991</v>
      </c>
      <c r="K552" s="89">
        <f t="shared" si="42"/>
        <v>15130039.299999999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253135</v>
      </c>
      <c r="G567" s="18"/>
      <c r="H567" s="18"/>
      <c r="I567" s="18">
        <v>1276.97</v>
      </c>
      <c r="J567" s="18"/>
      <c r="K567" s="18"/>
      <c r="L567" s="88">
        <f>SUM(F567:K567)</f>
        <v>254411.97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12940</v>
      </c>
      <c r="G568" s="18"/>
      <c r="H568" s="18"/>
      <c r="I568" s="18">
        <f>2116.22+1685.53</f>
        <v>3801.75</v>
      </c>
      <c r="J568" s="18"/>
      <c r="K568" s="18"/>
      <c r="L568" s="88">
        <f>SUM(F568:K568)</f>
        <v>16741.75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400</v>
      </c>
      <c r="G569" s="18"/>
      <c r="H569" s="18">
        <v>945</v>
      </c>
      <c r="I569" s="18">
        <v>415.69</v>
      </c>
      <c r="J569" s="18"/>
      <c r="K569" s="18"/>
      <c r="L569" s="88">
        <f>SUM(F569:K569)</f>
        <v>1760.69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266475</v>
      </c>
      <c r="G570" s="193">
        <f t="shared" ref="G570:L570" si="45">SUM(G567:G569)</f>
        <v>0</v>
      </c>
      <c r="H570" s="193">
        <f t="shared" si="45"/>
        <v>945</v>
      </c>
      <c r="I570" s="193">
        <f t="shared" si="45"/>
        <v>5494.41</v>
      </c>
      <c r="J570" s="193">
        <f t="shared" si="45"/>
        <v>0</v>
      </c>
      <c r="K570" s="193">
        <f t="shared" si="45"/>
        <v>0</v>
      </c>
      <c r="L570" s="193">
        <f t="shared" si="45"/>
        <v>272914.40999999997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266475</v>
      </c>
      <c r="G571" s="89">
        <f t="shared" ref="G571:L571" si="46">G560+G565+G570</f>
        <v>0</v>
      </c>
      <c r="H571" s="89">
        <f t="shared" si="46"/>
        <v>945</v>
      </c>
      <c r="I571" s="89">
        <f t="shared" si="46"/>
        <v>5494.41</v>
      </c>
      <c r="J571" s="89">
        <f t="shared" si="46"/>
        <v>0</v>
      </c>
      <c r="K571" s="89">
        <f t="shared" si="46"/>
        <v>0</v>
      </c>
      <c r="L571" s="89">
        <f t="shared" si="46"/>
        <v>272914.40999999997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223294.42</v>
      </c>
      <c r="G582" s="18">
        <v>412725.2</v>
      </c>
      <c r="H582" s="18">
        <v>798445.45</v>
      </c>
      <c r="I582" s="87">
        <f t="shared" si="47"/>
        <v>1434465.0699999998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22183.84</v>
      </c>
      <c r="G583" s="18"/>
      <c r="H583" s="18">
        <v>193216.52</v>
      </c>
      <c r="I583" s="87">
        <f t="shared" si="47"/>
        <v>215400.36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69922.080000000002</v>
      </c>
      <c r="I584" s="87">
        <f t="shared" si="47"/>
        <v>69922.080000000002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827424.75</v>
      </c>
      <c r="I591" s="18">
        <v>444984.36</v>
      </c>
      <c r="J591" s="18">
        <v>629630.04</v>
      </c>
      <c r="K591" s="104">
        <f t="shared" ref="K591:K597" si="48">SUM(H591:J591)</f>
        <v>1902039.15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342844.22</v>
      </c>
      <c r="I592" s="18">
        <v>183519.71</v>
      </c>
      <c r="J592" s="18">
        <v>264328.46999999997</v>
      </c>
      <c r="K592" s="104">
        <f t="shared" si="48"/>
        <v>790692.39999999991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63533.95</v>
      </c>
      <c r="K593" s="104">
        <f t="shared" si="48"/>
        <v>63533.95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4300.01</v>
      </c>
      <c r="I594" s="18">
        <v>13700.66</v>
      </c>
      <c r="J594" s="18">
        <v>71489.399999999994</v>
      </c>
      <c r="K594" s="104">
        <f t="shared" si="48"/>
        <v>89490.069999999992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9353.1200000000008</v>
      </c>
      <c r="I595" s="18">
        <v>6357.4</v>
      </c>
      <c r="J595" s="18">
        <v>9088.2199999999993</v>
      </c>
      <c r="K595" s="104">
        <f t="shared" si="48"/>
        <v>24798.739999999998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>
        <v>11359.63</v>
      </c>
      <c r="K597" s="104">
        <f t="shared" si="48"/>
        <v>11359.63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1183922.1000000001</v>
      </c>
      <c r="I598" s="108">
        <f>SUM(I591:I597)</f>
        <v>648562.13</v>
      </c>
      <c r="J598" s="108">
        <f>SUM(J591:J597)</f>
        <v>1049429.71</v>
      </c>
      <c r="K598" s="108">
        <f>SUM(K591:K597)</f>
        <v>2881913.94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401990.62</v>
      </c>
      <c r="I604" s="18">
        <v>183989.41</v>
      </c>
      <c r="J604" s="18">
        <f>292583.72-0.000695336610078812</f>
        <v>292583.71930466336</v>
      </c>
      <c r="K604" s="104">
        <f>SUM(H604:J604)</f>
        <v>878563.74930466339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401990.62</v>
      </c>
      <c r="I605" s="108">
        <f>SUM(I602:I604)</f>
        <v>183989.41</v>
      </c>
      <c r="J605" s="108">
        <f>SUM(J602:J604)</f>
        <v>292583.71930466336</v>
      </c>
      <c r="K605" s="108">
        <f>SUM(K602:K604)</f>
        <v>878563.74930466339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17162.5</v>
      </c>
      <c r="G613" s="18"/>
      <c r="H613" s="18">
        <v>2060</v>
      </c>
      <c r="I613" s="18"/>
      <c r="J613" s="18"/>
      <c r="K613" s="18"/>
      <c r="L613" s="88">
        <f>SUM(F613:K613)</f>
        <v>19222.5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17162.5</v>
      </c>
      <c r="G614" s="108">
        <f t="shared" si="49"/>
        <v>0</v>
      </c>
      <c r="H614" s="108">
        <f t="shared" si="49"/>
        <v>2060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19222.5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3623089.2800000152</v>
      </c>
      <c r="H617" s="109">
        <f>SUM(F52)</f>
        <v>3623089.2800000152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371207.01</v>
      </c>
      <c r="H618" s="109">
        <f>SUM(G52)</f>
        <v>371207.01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311762.31</v>
      </c>
      <c r="H619" s="109">
        <f>SUM(H52)</f>
        <v>311762.31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1427288.8399999999</v>
      </c>
      <c r="H621" s="109">
        <f>SUM(J52)</f>
        <v>1427288.8399999999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3249798.8200000152</v>
      </c>
      <c r="H622" s="109">
        <f>F476</f>
        <v>3249798.8200000152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1427288.8399999999</v>
      </c>
      <c r="H626" s="109">
        <f>J476</f>
        <v>1427288.84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63188192.280000001</v>
      </c>
      <c r="H627" s="104">
        <f>SUM(F468)</f>
        <v>63188192.280000001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1348045.47</v>
      </c>
      <c r="H628" s="104">
        <f>SUM(G468)</f>
        <v>1348045.47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1540448.78</v>
      </c>
      <c r="H629" s="104">
        <f>SUM(H468)</f>
        <v>1540448.78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274227.21999999997</v>
      </c>
      <c r="H631" s="104">
        <f>SUM(J468)</f>
        <v>274227.21999999997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64253948.219999991</v>
      </c>
      <c r="H632" s="104">
        <f>SUM(F472)</f>
        <v>64253948.219999991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1540448.78</v>
      </c>
      <c r="H633" s="104">
        <f>SUM(H472)</f>
        <v>1540448.78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612934.48</v>
      </c>
      <c r="H634" s="104">
        <f>I369</f>
        <v>612934.48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1348045.4700000002</v>
      </c>
      <c r="H635" s="104">
        <f>SUM(G472)</f>
        <v>1348045.47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274227.21999999997</v>
      </c>
      <c r="H637" s="164">
        <f>SUM(J468)</f>
        <v>274227.21999999997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36195.19</v>
      </c>
      <c r="H638" s="164">
        <f>SUM(J472)</f>
        <v>36195.19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1415230.93</v>
      </c>
      <c r="H639" s="104">
        <f>SUM(F461)</f>
        <v>1415230.93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12057.91</v>
      </c>
      <c r="H640" s="104">
        <f>SUM(G461)</f>
        <v>12057.91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1427288.8399999999</v>
      </c>
      <c r="H642" s="104">
        <f>SUM(I461)</f>
        <v>1427288.8399999999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6592.22</v>
      </c>
      <c r="H644" s="104">
        <f>H408</f>
        <v>6592.22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250000</v>
      </c>
      <c r="H645" s="104">
        <f>G408</f>
        <v>250000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274227.21999999997</v>
      </c>
      <c r="H646" s="104">
        <f>L408</f>
        <v>274227.21999999997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2881913.94</v>
      </c>
      <c r="H647" s="104">
        <f>L208+L226+L244</f>
        <v>2881913.94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878563.74930466339</v>
      </c>
      <c r="H648" s="104">
        <f>(J257+J338)-(J255+J336)</f>
        <v>878563.74930466339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1183922.1000000001</v>
      </c>
      <c r="H649" s="104">
        <f>H598</f>
        <v>1183922.1000000001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648562.13</v>
      </c>
      <c r="H650" s="104">
        <f>I598</f>
        <v>648562.13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1049429.71</v>
      </c>
      <c r="H651" s="104">
        <f>J598</f>
        <v>1049429.71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13588</v>
      </c>
      <c r="H652" s="104">
        <f>K263+K345</f>
        <v>13588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2348.4699999999998</v>
      </c>
      <c r="H653" s="104">
        <f>K264</f>
        <v>2348.4699999999998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250000</v>
      </c>
      <c r="H655" s="104">
        <f>K266+K347</f>
        <v>250000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26676393.139999997</v>
      </c>
      <c r="G660" s="19">
        <f>(L229+L309+L359)</f>
        <v>15122776.247604024</v>
      </c>
      <c r="H660" s="19">
        <f>(L247+L328+L360)</f>
        <v>21875856.691133764</v>
      </c>
      <c r="I660" s="19">
        <f>SUM(F660:H660)</f>
        <v>63675026.07873778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412166.04609070206</v>
      </c>
      <c r="G661" s="19">
        <f>(L359/IF(SUM(L358:L360)=0,1,SUM(L358:L360))*(SUM(G97:G110)))</f>
        <v>218318.66790977513</v>
      </c>
      <c r="H661" s="19">
        <f>(L360/IF(SUM(L358:L360)=0,1,SUM(L358:L360))*(SUM(G97:G110)))</f>
        <v>321214.61599952274</v>
      </c>
      <c r="I661" s="19">
        <f>SUM(F661:H661)</f>
        <v>951699.33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1188781.9200000002</v>
      </c>
      <c r="G662" s="19">
        <f>(L226+L306)-(J226+J306)</f>
        <v>648562.13</v>
      </c>
      <c r="H662" s="19">
        <f>(L244+L325)-(J244+J325)</f>
        <v>1049429.71</v>
      </c>
      <c r="I662" s="19">
        <f>SUM(F662:H662)</f>
        <v>2886773.7600000002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647468.88</v>
      </c>
      <c r="G663" s="199">
        <f>SUM(G575:G587)+SUM(I602:I604)+L612</f>
        <v>596714.61</v>
      </c>
      <c r="H663" s="199">
        <f>SUM(H575:H587)+SUM(J602:J604)+L613</f>
        <v>1373390.2693046634</v>
      </c>
      <c r="I663" s="19">
        <f>SUM(F663:H663)</f>
        <v>2617573.7593046632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24427976.293909296</v>
      </c>
      <c r="G664" s="19">
        <f>G660-SUM(G661:G663)</f>
        <v>13659180.839694249</v>
      </c>
      <c r="H664" s="19">
        <f>H660-SUM(H661:H663)</f>
        <v>19131822.095829576</v>
      </c>
      <c r="I664" s="19">
        <f>I660-SUM(I661:I663)</f>
        <v>57218979.229433119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1448.62</v>
      </c>
      <c r="G665" s="248">
        <v>818.21</v>
      </c>
      <c r="H665" s="248">
        <v>1159.67</v>
      </c>
      <c r="I665" s="19">
        <f>SUM(F665:H665)</f>
        <v>3426.5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16862.93</v>
      </c>
      <c r="G667" s="19">
        <f>ROUND(G664/G665,2)</f>
        <v>16693.98</v>
      </c>
      <c r="H667" s="19">
        <f>ROUND(H664/H665,2)</f>
        <v>16497.64</v>
      </c>
      <c r="I667" s="19">
        <f>ROUND(I664/I665,2)</f>
        <v>16698.96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-16.55</v>
      </c>
      <c r="I670" s="19">
        <f>SUM(F670:H670)</f>
        <v>-16.55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16862.93</v>
      </c>
      <c r="G672" s="19">
        <f>ROUND((G664+G669)/(G665+G670),2)</f>
        <v>16693.98</v>
      </c>
      <c r="H672" s="19">
        <f>ROUND((H664+H669)/(H665+H670),2)</f>
        <v>16736.490000000002</v>
      </c>
      <c r="I672" s="19">
        <f>ROUND((I664+I669)/(I665+I670),2)</f>
        <v>16780.009999999998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Timberlane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9" t="s">
        <v>783</v>
      </c>
      <c r="B3" s="279"/>
      <c r="C3" s="279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782</v>
      </c>
      <c r="C6" s="278"/>
    </row>
    <row r="7" spans="1:3" x14ac:dyDescent="0.2">
      <c r="A7" s="239" t="s">
        <v>785</v>
      </c>
      <c r="B7" s="276" t="s">
        <v>781</v>
      </c>
      <c r="C7" s="277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17416858.759999998</v>
      </c>
      <c r="C9" s="229">
        <f>'DOE25'!G197+'DOE25'!G215+'DOE25'!G233+'DOE25'!G276+'DOE25'!G295+'DOE25'!G314</f>
        <v>8223021.120000001</v>
      </c>
    </row>
    <row r="10" spans="1:3" x14ac:dyDescent="0.2">
      <c r="A10" t="s">
        <v>778</v>
      </c>
      <c r="B10" s="240">
        <v>15564057.77</v>
      </c>
      <c r="C10" s="240">
        <v>7348258.2318196474</v>
      </c>
    </row>
    <row r="11" spans="1:3" x14ac:dyDescent="0.2">
      <c r="A11" t="s">
        <v>779</v>
      </c>
      <c r="B11" s="240">
        <v>1436929.23</v>
      </c>
      <c r="C11" s="240">
        <v>678417.36383440369</v>
      </c>
    </row>
    <row r="12" spans="1:3" x14ac:dyDescent="0.2">
      <c r="A12" t="s">
        <v>780</v>
      </c>
      <c r="B12" s="240">
        <f>28604.62+324702.26+62564.88</f>
        <v>415871.76</v>
      </c>
      <c r="C12" s="240">
        <v>196345.52434595115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17416858.760000002</v>
      </c>
      <c r="C13" s="231">
        <f>SUM(C10:C12)</f>
        <v>8223021.120000002</v>
      </c>
    </row>
    <row r="14" spans="1:3" x14ac:dyDescent="0.2">
      <c r="B14" s="230"/>
      <c r="C14" s="230"/>
    </row>
    <row r="15" spans="1:3" x14ac:dyDescent="0.2">
      <c r="B15" s="278" t="s">
        <v>782</v>
      </c>
      <c r="C15" s="278"/>
    </row>
    <row r="16" spans="1:3" x14ac:dyDescent="0.2">
      <c r="A16" s="239" t="s">
        <v>786</v>
      </c>
      <c r="B16" s="276" t="s">
        <v>706</v>
      </c>
      <c r="C16" s="277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6917429.9006953351</v>
      </c>
      <c r="C18" s="229">
        <f>'DOE25'!G198+'DOE25'!G216+'DOE25'!G234+'DOE25'!G277+'DOE25'!G296+'DOE25'!G315</f>
        <v>2976822.7399999998</v>
      </c>
    </row>
    <row r="19" spans="1:3" x14ac:dyDescent="0.2">
      <c r="A19" t="s">
        <v>778</v>
      </c>
      <c r="B19" s="240">
        <v>4108856.4</v>
      </c>
      <c r="C19" s="240">
        <v>1768190.98</v>
      </c>
    </row>
    <row r="20" spans="1:3" x14ac:dyDescent="0.2">
      <c r="A20" t="s">
        <v>779</v>
      </c>
      <c r="B20" s="240">
        <v>2311769.4500000002</v>
      </c>
      <c r="C20" s="240">
        <v>994838.83001073776</v>
      </c>
    </row>
    <row r="21" spans="1:3" x14ac:dyDescent="0.2">
      <c r="A21" t="s">
        <v>780</v>
      </c>
      <c r="B21" s="240">
        <f>63527.79+37538.13+44429.47+351308.66</f>
        <v>496804.05</v>
      </c>
      <c r="C21" s="240">
        <v>213792.92811685699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6917429.8999999994</v>
      </c>
      <c r="C22" s="231">
        <f>SUM(C19:C21)</f>
        <v>2976822.7381275948</v>
      </c>
    </row>
    <row r="23" spans="1:3" x14ac:dyDescent="0.2">
      <c r="B23" s="230"/>
      <c r="C23" s="230"/>
    </row>
    <row r="24" spans="1:3" x14ac:dyDescent="0.2">
      <c r="B24" s="278" t="s">
        <v>782</v>
      </c>
      <c r="C24" s="278"/>
    </row>
    <row r="25" spans="1:3" x14ac:dyDescent="0.2">
      <c r="A25" s="239" t="s">
        <v>787</v>
      </c>
      <c r="B25" s="276" t="s">
        <v>707</v>
      </c>
      <c r="C25" s="277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782</v>
      </c>
      <c r="C33" s="278"/>
    </row>
    <row r="34" spans="1:3" x14ac:dyDescent="0.2">
      <c r="A34" s="239" t="s">
        <v>788</v>
      </c>
      <c r="B34" s="276" t="s">
        <v>708</v>
      </c>
      <c r="C34" s="277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495801.29000000004</v>
      </c>
      <c r="C36" s="235">
        <f>'DOE25'!G200+'DOE25'!G218+'DOE25'!G236+'DOE25'!G279+'DOE25'!G298+'DOE25'!G317</f>
        <v>237492.69</v>
      </c>
    </row>
    <row r="37" spans="1:3" x14ac:dyDescent="0.2">
      <c r="A37" t="s">
        <v>778</v>
      </c>
      <c r="B37" s="240">
        <v>352514.9</v>
      </c>
      <c r="C37" s="240">
        <v>168857.39015741769</v>
      </c>
    </row>
    <row r="38" spans="1:3" x14ac:dyDescent="0.2">
      <c r="A38" t="s">
        <v>779</v>
      </c>
      <c r="B38" s="240">
        <v>104000</v>
      </c>
      <c r="C38" s="240">
        <v>49816.812215232429</v>
      </c>
    </row>
    <row r="39" spans="1:3" x14ac:dyDescent="0.2">
      <c r="A39" t="s">
        <v>780</v>
      </c>
      <c r="B39" s="240">
        <v>39286.39</v>
      </c>
      <c r="C39" s="240">
        <v>18818.487627349856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495801.29000000004</v>
      </c>
      <c r="C40" s="231">
        <f>SUM(C37:C39)</f>
        <v>237492.68999999997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7" sqref="E1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716</v>
      </c>
      <c r="B2" s="265" t="str">
        <f>'DOE25'!A2</f>
        <v>Timberlane Regional School District</v>
      </c>
      <c r="C2" s="181"/>
      <c r="D2" s="181" t="s">
        <v>791</v>
      </c>
      <c r="E2" s="181" t="s">
        <v>793</v>
      </c>
      <c r="F2" s="280" t="s">
        <v>820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39529376.25</v>
      </c>
      <c r="D5" s="20">
        <f>SUM('DOE25'!L197:L200)+SUM('DOE25'!L215:L218)+SUM('DOE25'!L233:L236)-F5-G5</f>
        <v>38842226.43</v>
      </c>
      <c r="E5" s="243"/>
      <c r="F5" s="255">
        <f>SUM('DOE25'!J197:J200)+SUM('DOE25'!J215:J218)+SUM('DOE25'!J233:J236)</f>
        <v>596199.25</v>
      </c>
      <c r="G5" s="53">
        <f>SUM('DOE25'!K197:K200)+SUM('DOE25'!K215:K218)+SUM('DOE25'!K233:K236)</f>
        <v>90950.57</v>
      </c>
      <c r="H5" s="259"/>
    </row>
    <row r="6" spans="1:9" x14ac:dyDescent="0.2">
      <c r="A6" s="32">
        <v>2100</v>
      </c>
      <c r="B6" t="s">
        <v>800</v>
      </c>
      <c r="C6" s="245">
        <f t="shared" si="0"/>
        <v>4756016.6000000015</v>
      </c>
      <c r="D6" s="20">
        <f>'DOE25'!L202+'DOE25'!L220+'DOE25'!L238-F6-G6</f>
        <v>4733356.3500000015</v>
      </c>
      <c r="E6" s="243"/>
      <c r="F6" s="255">
        <f>'DOE25'!J202+'DOE25'!J220+'DOE25'!J238</f>
        <v>9768.65</v>
      </c>
      <c r="G6" s="53">
        <f>'DOE25'!K202+'DOE25'!K220+'DOE25'!K238</f>
        <v>12891.599999999999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1342922.81</v>
      </c>
      <c r="D7" s="20">
        <f>'DOE25'!L203+'DOE25'!L221+'DOE25'!L239-F7-G7</f>
        <v>1335259.3500000001</v>
      </c>
      <c r="E7" s="243"/>
      <c r="F7" s="255">
        <f>'DOE25'!J203+'DOE25'!J221+'DOE25'!J239</f>
        <v>7663.4600000000009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1960165.5900279258</v>
      </c>
      <c r="D8" s="243"/>
      <c r="E8" s="20">
        <f>'DOE25'!L204+'DOE25'!L222+'DOE25'!L240-F8-G8-D9-D11</f>
        <v>1924931.6800000006</v>
      </c>
      <c r="F8" s="255">
        <f>'DOE25'!J204+'DOE25'!J222+'DOE25'!J240</f>
        <v>5458.46</v>
      </c>
      <c r="G8" s="53">
        <f>'DOE25'!K204+'DOE25'!K222+'DOE25'!K240</f>
        <v>29775.450027925159</v>
      </c>
      <c r="H8" s="259"/>
    </row>
    <row r="9" spans="1:9" x14ac:dyDescent="0.2">
      <c r="A9" s="32">
        <v>2310</v>
      </c>
      <c r="B9" t="s">
        <v>817</v>
      </c>
      <c r="C9" s="245">
        <f t="shared" si="0"/>
        <v>260074.46999999997</v>
      </c>
      <c r="D9" s="244">
        <f>9200+2800+3963.78+11502.33+191630.24+40978.12</f>
        <v>260074.46999999997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31856.1</v>
      </c>
      <c r="D10" s="243"/>
      <c r="E10" s="244">
        <v>31856.1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393847.42</v>
      </c>
      <c r="D11" s="244">
        <v>393847.42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4798691.1787098581</v>
      </c>
      <c r="D12" s="20">
        <f>'DOE25'!L205+'DOE25'!L223+'DOE25'!L241-F12-G12</f>
        <v>4708389.7500000009</v>
      </c>
      <c r="E12" s="243"/>
      <c r="F12" s="255">
        <f>'DOE25'!J205+'DOE25'!J223+'DOE25'!J241</f>
        <v>66759.430000000008</v>
      </c>
      <c r="G12" s="53">
        <f>'DOE25'!K205+'DOE25'!K223+'DOE25'!K241</f>
        <v>23541.99870985758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52187.89</v>
      </c>
      <c r="D13" s="243"/>
      <c r="E13" s="20">
        <f>'DOE25'!L206+'DOE25'!L224+'DOE25'!L242-F13-G13</f>
        <v>52187.89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4381694.2300000004</v>
      </c>
      <c r="D14" s="20">
        <f>'DOE25'!L207+'DOE25'!L225+'DOE25'!L243-F14-G14</f>
        <v>4301193.83</v>
      </c>
      <c r="E14" s="243"/>
      <c r="F14" s="255">
        <f>'DOE25'!J207+'DOE25'!J225+'DOE25'!J243</f>
        <v>80500.399999999994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2881913.94</v>
      </c>
      <c r="D15" s="20">
        <f>'DOE25'!L208+'DOE25'!L226+'DOE25'!L244-F15-G15</f>
        <v>2881913.94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479759.03</v>
      </c>
      <c r="D16" s="243"/>
      <c r="E16" s="20">
        <f>'DOE25'!L209+'DOE25'!L227+'DOE25'!L245-F16-G16</f>
        <v>435326.01</v>
      </c>
      <c r="F16" s="255">
        <f>'DOE25'!J209+'DOE25'!J227+'DOE25'!J245</f>
        <v>44433.020000000004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197635.34</v>
      </c>
      <c r="D17" s="20">
        <f>'DOE25'!L251-F17-G17</f>
        <v>197635.34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1065735.0012622112</v>
      </c>
      <c r="D22" s="243"/>
      <c r="E22" s="243"/>
      <c r="F22" s="255">
        <f>'DOE25'!L255+'DOE25'!L336</f>
        <v>1065735.0012622112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1894000</v>
      </c>
      <c r="D25" s="243"/>
      <c r="E25" s="243"/>
      <c r="F25" s="258"/>
      <c r="G25" s="256"/>
      <c r="H25" s="257">
        <f>'DOE25'!L260+'DOE25'!L261+'DOE25'!L341+'DOE25'!L342</f>
        <v>1894000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885376.50000000023</v>
      </c>
      <c r="D29" s="20">
        <f>'DOE25'!L358+'DOE25'!L359+'DOE25'!L360-'DOE25'!I367-F29-G29</f>
        <v>850376.50000000023</v>
      </c>
      <c r="E29" s="243"/>
      <c r="F29" s="255">
        <f>'DOE25'!J358+'DOE25'!J359+'DOE25'!J360</f>
        <v>0</v>
      </c>
      <c r="G29" s="53">
        <f>'DOE25'!K358+'DOE25'!K359+'DOE25'!K360</f>
        <v>35000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1534440.78</v>
      </c>
      <c r="D31" s="20">
        <f>'DOE25'!L290+'DOE25'!L309+'DOE25'!L328+'DOE25'!L333+'DOE25'!L334+'DOE25'!L335-F31-G31</f>
        <v>1466609.7006953366</v>
      </c>
      <c r="E31" s="243"/>
      <c r="F31" s="255">
        <f>'DOE25'!J290+'DOE25'!J309+'DOE25'!J328+'DOE25'!J333+'DOE25'!J334+'DOE25'!J335</f>
        <v>67781.079304663508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59970883.080695339</v>
      </c>
      <c r="E33" s="246">
        <f>SUM(E5:E31)</f>
        <v>2444301.6800000006</v>
      </c>
      <c r="F33" s="246">
        <f>SUM(F5:F31)</f>
        <v>1944298.7505668746</v>
      </c>
      <c r="G33" s="246">
        <f>SUM(G5:G31)</f>
        <v>192209.61873778276</v>
      </c>
      <c r="H33" s="246">
        <f>SUM(H5:H31)</f>
        <v>1894000</v>
      </c>
    </row>
    <row r="35" spans="2:8" ht="12" thickBot="1" x14ac:dyDescent="0.25">
      <c r="B35" s="253" t="s">
        <v>846</v>
      </c>
      <c r="D35" s="254">
        <f>E33</f>
        <v>2444301.6800000006</v>
      </c>
      <c r="E35" s="249"/>
    </row>
    <row r="36" spans="2:8" ht="12" thickTop="1" x14ac:dyDescent="0.2">
      <c r="B36" t="s">
        <v>814</v>
      </c>
      <c r="D36" s="20">
        <f>D33</f>
        <v>59970883.080695339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50" zoomScaleNormal="150" workbookViewId="0">
      <pane ySplit="2" topLeftCell="A143" activePane="bottomLeft" state="frozen"/>
      <selection activeCell="F46" sqref="F46"/>
      <selection pane="bottomLeft" activeCell="C143" sqref="C14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2441441.2300000149</v>
      </c>
      <c r="D8" s="95">
        <f>'DOE25'!G9</f>
        <v>317101.19</v>
      </c>
      <c r="E8" s="95">
        <f>'DOE25'!H9</f>
        <v>28646.39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555880.72</v>
      </c>
      <c r="D11" s="95">
        <f>'DOE25'!G12</f>
        <v>20228.89</v>
      </c>
      <c r="E11" s="95">
        <f>'DOE25'!H12</f>
        <v>5689.99</v>
      </c>
      <c r="F11" s="95">
        <f>'DOE25'!I12</f>
        <v>0</v>
      </c>
      <c r="G11" s="95">
        <f>'DOE25'!J12</f>
        <v>12057.91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562949.79</v>
      </c>
      <c r="D12" s="95">
        <f>'DOE25'!G13</f>
        <v>0</v>
      </c>
      <c r="E12" s="95">
        <f>'DOE25'!H13</f>
        <v>277425.93</v>
      </c>
      <c r="F12" s="95">
        <f>'DOE25'!I13</f>
        <v>0</v>
      </c>
      <c r="G12" s="95">
        <f>'DOE25'!J13</f>
        <v>1415230.93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61817.54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33876.93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3623089.2800000152</v>
      </c>
      <c r="D18" s="41">
        <f>SUM(D8:D17)</f>
        <v>371207.01</v>
      </c>
      <c r="E18" s="41">
        <f>SUM(E8:E17)</f>
        <v>311762.31</v>
      </c>
      <c r="F18" s="41">
        <f>SUM(F8:F17)</f>
        <v>0</v>
      </c>
      <c r="G18" s="41">
        <f>SUM(G8:G17)</f>
        <v>1427288.8399999999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299134.82</v>
      </c>
      <c r="E21" s="95">
        <f>'DOE25'!H22</f>
        <v>279463.8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34829.089999999997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120748.83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36924.400000000001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213202.54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4510</v>
      </c>
      <c r="D29" s="95">
        <f>'DOE25'!G30</f>
        <v>35147.79</v>
      </c>
      <c r="E29" s="95">
        <f>'DOE25'!H30</f>
        <v>32298.510000000002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373290.45999999996</v>
      </c>
      <c r="D31" s="41">
        <f>SUM(D21:D30)</f>
        <v>371207.01</v>
      </c>
      <c r="E31" s="41">
        <f>SUM(E21:E30)</f>
        <v>311762.31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33876.93</v>
      </c>
      <c r="E34" s="95">
        <f>'DOE25'!H35</f>
        <v>43416.89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42111.78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-33876.93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175000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-43416.89</v>
      </c>
      <c r="F47" s="95">
        <f>'DOE25'!I48</f>
        <v>0</v>
      </c>
      <c r="G47" s="95">
        <f>'DOE25'!J48</f>
        <v>1427288.8399999999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373450.15000001492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2409236.89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3249798.8200000152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1427288.8399999999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3623089.2800000152</v>
      </c>
      <c r="D51" s="41">
        <f>D50+D31</f>
        <v>371207.01</v>
      </c>
      <c r="E51" s="41">
        <f>E50+E31</f>
        <v>311762.31</v>
      </c>
      <c r="F51" s="41">
        <f>F50+F31</f>
        <v>0</v>
      </c>
      <c r="G51" s="41">
        <f>G50+G31</f>
        <v>1427288.8399999999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43205250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449396.86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6592.22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951699.33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179307.38999999998</v>
      </c>
      <c r="D61" s="95">
        <f>SUM('DOE25'!G98:G110)</f>
        <v>0</v>
      </c>
      <c r="E61" s="95">
        <f>SUM('DOE25'!H98:H110)</f>
        <v>84416.5</v>
      </c>
      <c r="F61" s="95">
        <f>SUM('DOE25'!I98:I110)</f>
        <v>0</v>
      </c>
      <c r="G61" s="95">
        <f>SUM('DOE25'!J98:J110)</f>
        <v>17635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628704.25</v>
      </c>
      <c r="D62" s="130">
        <f>SUM(D57:D61)</f>
        <v>951699.33</v>
      </c>
      <c r="E62" s="130">
        <f>SUM(E57:E61)</f>
        <v>84416.5</v>
      </c>
      <c r="F62" s="130">
        <f>SUM(F57:F61)</f>
        <v>0</v>
      </c>
      <c r="G62" s="130">
        <f>SUM(G57:G61)</f>
        <v>24227.22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43833954.25</v>
      </c>
      <c r="D63" s="22">
        <f>D56+D62</f>
        <v>951699.33</v>
      </c>
      <c r="E63" s="22">
        <f>E56+E62</f>
        <v>84416.5</v>
      </c>
      <c r="F63" s="22">
        <f>F56+F62</f>
        <v>0</v>
      </c>
      <c r="G63" s="22">
        <f>G56+G62</f>
        <v>24227.22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10728395.439999999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6299129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49700.01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17077224.449999999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1103810.6599999999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552345.05000000005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36967.599999999999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17416.09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1693123.31</v>
      </c>
      <c r="D78" s="130">
        <f>SUM(D72:D77)</f>
        <v>17416.09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18770347.759999998</v>
      </c>
      <c r="D81" s="130">
        <f>SUM(D79:D80)+D78+D70</f>
        <v>17416.09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583890.27</v>
      </c>
      <c r="D88" s="95">
        <f>SUM('DOE25'!G153:G161)</f>
        <v>365342.05</v>
      </c>
      <c r="E88" s="95">
        <f>SUM('DOE25'!H153:H161)</f>
        <v>1453683.81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583890.27</v>
      </c>
      <c r="D91" s="131">
        <f>SUM(D85:D90)</f>
        <v>365342.05</v>
      </c>
      <c r="E91" s="131">
        <f>SUM(E85:E90)</f>
        <v>1453683.81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13588</v>
      </c>
      <c r="E96" s="95">
        <f>'DOE25'!H179</f>
        <v>2348.4699999999998</v>
      </c>
      <c r="F96" s="95">
        <f>'DOE25'!I179</f>
        <v>0</v>
      </c>
      <c r="G96" s="95">
        <f>'DOE25'!J179</f>
        <v>250000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13588</v>
      </c>
      <c r="E103" s="86">
        <f>SUM(E93:E102)</f>
        <v>2348.4699999999998</v>
      </c>
      <c r="F103" s="86">
        <f>SUM(F93:F102)</f>
        <v>0</v>
      </c>
      <c r="G103" s="86">
        <f>SUM(G93:G102)</f>
        <v>250000</v>
      </c>
    </row>
    <row r="104" spans="1:7" ht="12.75" thickTop="1" thickBot="1" x14ac:dyDescent="0.25">
      <c r="A104" s="33" t="s">
        <v>764</v>
      </c>
      <c r="C104" s="86">
        <f>C63+C81+C91+C103</f>
        <v>63188192.280000001</v>
      </c>
      <c r="D104" s="86">
        <f>D63+D81+D91+D103</f>
        <v>1348045.47</v>
      </c>
      <c r="E104" s="86">
        <f>E63+E81+E91+E103</f>
        <v>1540448.78</v>
      </c>
      <c r="F104" s="86">
        <f>F63+F81+F91+F103</f>
        <v>0</v>
      </c>
      <c r="G104" s="86">
        <f>G63+G81+G103</f>
        <v>274227.21999999997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27063185.609999999</v>
      </c>
      <c r="D109" s="24" t="s">
        <v>288</v>
      </c>
      <c r="E109" s="95">
        <f>('DOE25'!L276)+('DOE25'!L295)+('DOE25'!L314)</f>
        <v>376418.54999999987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11374187.810000001</v>
      </c>
      <c r="D110" s="24" t="s">
        <v>288</v>
      </c>
      <c r="E110" s="95">
        <f>('DOE25'!L277)+('DOE25'!L296)+('DOE25'!L315)</f>
        <v>930003.79108628887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41020.28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1050982.55</v>
      </c>
      <c r="D112" s="24" t="s">
        <v>288</v>
      </c>
      <c r="E112" s="95">
        <f>+('DOE25'!L279)+('DOE25'!L298)+('DOE25'!L317)</f>
        <v>8998.9500000000007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197635.34</v>
      </c>
      <c r="D114" s="24" t="s">
        <v>288</v>
      </c>
      <c r="E114" s="95">
        <f>+ SUM('DOE25'!L333:L335)</f>
        <v>44109.579999999994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39727011.590000004</v>
      </c>
      <c r="D115" s="86">
        <f>SUM(D109:D114)</f>
        <v>0</v>
      </c>
      <c r="E115" s="86">
        <f>SUM(E109:E114)</f>
        <v>1359530.8710862887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4756016.6000000015</v>
      </c>
      <c r="D118" s="24" t="s">
        <v>288</v>
      </c>
      <c r="E118" s="95">
        <f>+('DOE25'!L281)+('DOE25'!L300)+('DOE25'!L319)</f>
        <v>2273.31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1342922.81</v>
      </c>
      <c r="D119" s="24" t="s">
        <v>288</v>
      </c>
      <c r="E119" s="95">
        <f>+('DOE25'!L282)+('DOE25'!L301)+('DOE25'!L320)</f>
        <v>148293.78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2614087.4800279252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4798691.1787098581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52187.89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4381694.2300000004</v>
      </c>
      <c r="D123" s="24" t="s">
        <v>288</v>
      </c>
      <c r="E123" s="95">
        <f>+('DOE25'!L286)+('DOE25'!L305)+('DOE25'!L324)</f>
        <v>19482.998913711253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2881913.94</v>
      </c>
      <c r="D124" s="24" t="s">
        <v>288</v>
      </c>
      <c r="E124" s="95">
        <f>+('DOE25'!L287)+('DOE25'!L306)+('DOE25'!L325)</f>
        <v>4859.82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479759.03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1348045.4700000002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21307273.15873779</v>
      </c>
      <c r="D128" s="86">
        <f>SUM(D118:D127)</f>
        <v>1348045.4700000002</v>
      </c>
      <c r="E128" s="86">
        <f>SUM(E118:E127)</f>
        <v>174909.90891371126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1059727.0012622112</v>
      </c>
      <c r="D130" s="24" t="s">
        <v>288</v>
      </c>
      <c r="E130" s="129">
        <f>'DOE25'!L336</f>
        <v>6008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1600000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294000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13588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2348.4699999999998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274227.21999999997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-24227.219999999972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3219663.4712622119</v>
      </c>
      <c r="D144" s="141">
        <f>SUM(D130:D143)</f>
        <v>0</v>
      </c>
      <c r="E144" s="141">
        <f>SUM(E130:E143)</f>
        <v>6008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64253948.220000006</v>
      </c>
      <c r="D145" s="86">
        <f>(D115+D128+D144)</f>
        <v>1348045.4700000002</v>
      </c>
      <c r="E145" s="86">
        <f>(E115+E128+E144)</f>
        <v>1540448.78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07/1999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8/2020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 t="str">
        <f>'DOE25'!F494</f>
        <v>4.25 to 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6400000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6400000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1600000</v>
      </c>
    </row>
    <row r="159" spans="1:9" x14ac:dyDescent="0.2">
      <c r="A159" s="22" t="s">
        <v>35</v>
      </c>
      <c r="B159" s="137">
        <f>'DOE25'!F498</f>
        <v>5178000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5178000</v>
      </c>
    </row>
    <row r="160" spans="1:9" x14ac:dyDescent="0.2">
      <c r="A160" s="22" t="s">
        <v>36</v>
      </c>
      <c r="B160" s="137">
        <f>'DOE25'!F499</f>
        <v>378000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378000</v>
      </c>
    </row>
    <row r="161" spans="1:7" x14ac:dyDescent="0.2">
      <c r="A161" s="22" t="s">
        <v>37</v>
      </c>
      <c r="B161" s="137">
        <f>'DOE25'!F500</f>
        <v>5556000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5556000</v>
      </c>
    </row>
    <row r="162" spans="1:7" x14ac:dyDescent="0.2">
      <c r="A162" s="22" t="s">
        <v>38</v>
      </c>
      <c r="B162" s="137">
        <f>'DOE25'!F501</f>
        <v>1600000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1600000</v>
      </c>
    </row>
    <row r="163" spans="1:7" x14ac:dyDescent="0.2">
      <c r="A163" s="22" t="s">
        <v>39</v>
      </c>
      <c r="B163" s="137">
        <f>'DOE25'!F502</f>
        <v>210000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210000</v>
      </c>
    </row>
    <row r="164" spans="1:7" x14ac:dyDescent="0.2">
      <c r="A164" s="22" t="s">
        <v>246</v>
      </c>
      <c r="B164" s="137">
        <f>'DOE25'!F503</f>
        <v>1810000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1810000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7" t="s">
        <v>716</v>
      </c>
      <c r="B2" s="186" t="str">
        <f>'DOE25'!A2</f>
        <v>Timberlane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16863</v>
      </c>
    </row>
    <row r="5" spans="1:4" x14ac:dyDescent="0.2">
      <c r="B5" t="s">
        <v>703</v>
      </c>
      <c r="C5" s="179">
        <f>IF('DOE25'!G665+'DOE25'!G670=0,0,ROUND('DOE25'!G672,0))</f>
        <v>16694</v>
      </c>
    </row>
    <row r="6" spans="1:4" x14ac:dyDescent="0.2">
      <c r="B6" t="s">
        <v>62</v>
      </c>
      <c r="C6" s="179">
        <f>IF('DOE25'!H665+'DOE25'!H670=0,0,ROUND('DOE25'!H672,0))</f>
        <v>16736</v>
      </c>
    </row>
    <row r="7" spans="1:4" x14ac:dyDescent="0.2">
      <c r="B7" t="s">
        <v>704</v>
      </c>
      <c r="C7" s="179">
        <f>IF('DOE25'!I665+'DOE25'!I670=0,0,ROUND('DOE25'!I672,0))</f>
        <v>16780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27439604</v>
      </c>
      <c r="D10" s="182">
        <f>ROUND((C10/$C$28)*100,1)</f>
        <v>43.4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12304192</v>
      </c>
      <c r="D11" s="182">
        <f>ROUND((C11/$C$28)*100,1)</f>
        <v>19.5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41020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1059982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4758290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1491217</v>
      </c>
      <c r="D16" s="182">
        <f t="shared" si="0"/>
        <v>2.4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3093847</v>
      </c>
      <c r="D17" s="182">
        <f t="shared" si="0"/>
        <v>4.9000000000000004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4798691</v>
      </c>
      <c r="D18" s="182">
        <f t="shared" si="0"/>
        <v>7.6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52188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4401177</v>
      </c>
      <c r="D20" s="182">
        <f t="shared" si="0"/>
        <v>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2886774</v>
      </c>
      <c r="D21" s="182">
        <f t="shared" si="0"/>
        <v>4.5999999999999996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241745</v>
      </c>
      <c r="D24" s="182">
        <f t="shared" si="0"/>
        <v>0.4</v>
      </c>
    </row>
    <row r="25" spans="1:4" x14ac:dyDescent="0.2">
      <c r="A25">
        <v>5120</v>
      </c>
      <c r="B25" t="s">
        <v>719</v>
      </c>
      <c r="C25" s="179">
        <f>ROUND('DOE25'!L261+'DOE25'!L342,0)</f>
        <v>294000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396345.67000000004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63259072.670000002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1065735</v>
      </c>
    </row>
    <row r="30" spans="1:4" x14ac:dyDescent="0.2">
      <c r="B30" s="187" t="s">
        <v>728</v>
      </c>
      <c r="C30" s="180">
        <f>SUM(C28:C29)</f>
        <v>64324807.670000002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1600000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43205250</v>
      </c>
      <c r="D35" s="182">
        <f t="shared" ref="D35:D40" si="1">ROUND((C35/$C$41)*100,1)</f>
        <v>66.3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737347.96999999881</v>
      </c>
      <c r="D36" s="182">
        <f t="shared" si="1"/>
        <v>1.1000000000000001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17027524</v>
      </c>
      <c r="D37" s="182">
        <f t="shared" si="1"/>
        <v>26.1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1760239</v>
      </c>
      <c r="D38" s="182">
        <f t="shared" si="1"/>
        <v>2.7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2402916</v>
      </c>
      <c r="D39" s="182">
        <f t="shared" si="1"/>
        <v>3.7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65133276.969999999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769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766</v>
      </c>
      <c r="B2" s="296"/>
      <c r="C2" s="296"/>
      <c r="D2" s="296"/>
      <c r="E2" s="296"/>
      <c r="F2" s="293" t="str">
        <f>'DOE25'!A2</f>
        <v>Timberlane Regional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1" t="s">
        <v>770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847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2017-10-18T17:32:29Z</cp:lastPrinted>
  <dcterms:created xsi:type="dcterms:W3CDTF">1997-12-04T19:04:30Z</dcterms:created>
  <dcterms:modified xsi:type="dcterms:W3CDTF">2017-11-29T18:07:24Z</dcterms:modified>
</cp:coreProperties>
</file>