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F50" i="1" l="1"/>
  <c r="H154" i="1" l="1"/>
  <c r="H358" i="1"/>
  <c r="F57" i="1"/>
  <c r="F465" i="1" l="1"/>
  <c r="D11" i="13" l="1"/>
  <c r="D9" i="13"/>
  <c r="B19" i="12" l="1"/>
  <c r="B20" i="12"/>
  <c r="C10" i="12"/>
  <c r="B10" i="12"/>
  <c r="H595" i="1"/>
  <c r="H594" i="1"/>
  <c r="H592" i="1"/>
  <c r="H541" i="1"/>
  <c r="G541" i="1"/>
  <c r="F541" i="1"/>
  <c r="G526" i="1"/>
  <c r="J521" i="1"/>
  <c r="I521" i="1"/>
  <c r="H521" i="1"/>
  <c r="G521" i="1"/>
  <c r="F521" i="1"/>
  <c r="J358" i="1"/>
  <c r="K285" i="1"/>
  <c r="I276" i="1"/>
  <c r="H282" i="1"/>
  <c r="H278" i="1"/>
  <c r="H277" i="1"/>
  <c r="G282" i="1"/>
  <c r="G276" i="1"/>
  <c r="F282" i="1"/>
  <c r="F276" i="1"/>
  <c r="K208" i="1"/>
  <c r="K207" i="1"/>
  <c r="K205" i="1"/>
  <c r="K204" i="1"/>
  <c r="J209" i="1"/>
  <c r="J207" i="1"/>
  <c r="J203" i="1"/>
  <c r="I208" i="1"/>
  <c r="I207" i="1"/>
  <c r="I205" i="1"/>
  <c r="I203" i="1"/>
  <c r="I202" i="1"/>
  <c r="H209" i="1"/>
  <c r="H208" i="1"/>
  <c r="H207" i="1"/>
  <c r="H205" i="1"/>
  <c r="H204" i="1"/>
  <c r="H203" i="1"/>
  <c r="H202" i="1"/>
  <c r="G208" i="1"/>
  <c r="G207" i="1"/>
  <c r="G205" i="1"/>
  <c r="G204" i="1"/>
  <c r="G203" i="1"/>
  <c r="G202" i="1"/>
  <c r="F208" i="1"/>
  <c r="F207" i="1"/>
  <c r="F205" i="1"/>
  <c r="F204" i="1"/>
  <c r="F203" i="1"/>
  <c r="F202" i="1"/>
  <c r="I200" i="1"/>
  <c r="H200" i="1"/>
  <c r="G200" i="1"/>
  <c r="F200" i="1"/>
  <c r="J198" i="1"/>
  <c r="I198" i="1"/>
  <c r="H198" i="1"/>
  <c r="G198" i="1"/>
  <c r="F198" i="1"/>
  <c r="K197" i="1"/>
  <c r="J197" i="1"/>
  <c r="I197" i="1"/>
  <c r="G197" i="1"/>
  <c r="F197" i="1"/>
  <c r="H12" i="1" l="1"/>
  <c r="J591" i="1"/>
  <c r="J598" i="1" s="1"/>
  <c r="J465" i="1"/>
  <c r="G441" i="1"/>
  <c r="G440" i="1"/>
  <c r="H575" i="1"/>
  <c r="I575" i="1" s="1"/>
  <c r="L208" i="1"/>
  <c r="H591" i="1" s="1"/>
  <c r="H598" i="1" s="1"/>
  <c r="H649" i="1" s="1"/>
  <c r="K270" i="1"/>
  <c r="H159" i="1"/>
  <c r="H155" i="1"/>
  <c r="H150" i="1"/>
  <c r="G132" i="1"/>
  <c r="F51" i="1"/>
  <c r="C45" i="2"/>
  <c r="G51" i="1"/>
  <c r="G623" i="1" s="1"/>
  <c r="C37" i="10"/>
  <c r="F40" i="2"/>
  <c r="D39" i="2"/>
  <c r="G655" i="1"/>
  <c r="F48" i="2"/>
  <c r="E48" i="2"/>
  <c r="D48" i="2"/>
  <c r="C48" i="2"/>
  <c r="F47" i="2"/>
  <c r="E47" i="2"/>
  <c r="E50" i="2" s="1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 s="1"/>
  <c r="I458" i="1"/>
  <c r="J39" i="1"/>
  <c r="G38" i="2"/>
  <c r="C68" i="2"/>
  <c r="B2" i="13"/>
  <c r="F8" i="13"/>
  <c r="G8" i="13"/>
  <c r="L204" i="1"/>
  <c r="L222" i="1"/>
  <c r="C120" i="2" s="1"/>
  <c r="L240" i="1"/>
  <c r="D39" i="13"/>
  <c r="F13" i="13"/>
  <c r="G13" i="13"/>
  <c r="L206" i="1"/>
  <c r="L224" i="1"/>
  <c r="L242" i="1"/>
  <c r="F16" i="13"/>
  <c r="G16" i="13"/>
  <c r="L209" i="1"/>
  <c r="E16" i="13" s="1"/>
  <c r="C16" i="13" s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L247" i="1" s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25" i="1"/>
  <c r="L243" i="1"/>
  <c r="F15" i="13"/>
  <c r="G15" i="13"/>
  <c r="L226" i="1"/>
  <c r="I598" i="1" s="1"/>
  <c r="H650" i="1" s="1"/>
  <c r="L244" i="1"/>
  <c r="F17" i="13"/>
  <c r="D17" i="13" s="1"/>
  <c r="C17" i="13" s="1"/>
  <c r="G17" i="13"/>
  <c r="L251" i="1"/>
  <c r="F18" i="13"/>
  <c r="G18" i="13"/>
  <c r="D18" i="13" s="1"/>
  <c r="L252" i="1"/>
  <c r="F19" i="13"/>
  <c r="G19" i="13"/>
  <c r="L253" i="1"/>
  <c r="D19" i="13" s="1"/>
  <c r="C19" i="13" s="1"/>
  <c r="F29" i="13"/>
  <c r="G29" i="13"/>
  <c r="L358" i="1"/>
  <c r="L359" i="1"/>
  <c r="L360" i="1"/>
  <c r="I367" i="1"/>
  <c r="J290" i="1"/>
  <c r="J309" i="1"/>
  <c r="J338" i="1" s="1"/>
  <c r="J352" i="1" s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E110" i="2" s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C130" i="2" s="1"/>
  <c r="L336" i="1"/>
  <c r="C11" i="13"/>
  <c r="C10" i="13"/>
  <c r="C9" i="13"/>
  <c r="L361" i="1"/>
  <c r="B4" i="12"/>
  <c r="B36" i="12"/>
  <c r="A40" i="12" s="1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A22" i="12" s="1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63" i="2" s="1"/>
  <c r="G59" i="2"/>
  <c r="G62" i="2" s="1"/>
  <c r="G61" i="2"/>
  <c r="F2" i="11"/>
  <c r="L613" i="1"/>
  <c r="H663" i="1"/>
  <c r="L612" i="1"/>
  <c r="L611" i="1"/>
  <c r="C40" i="10"/>
  <c r="F60" i="1"/>
  <c r="C56" i="2" s="1"/>
  <c r="G60" i="1"/>
  <c r="H60" i="1"/>
  <c r="I60" i="1"/>
  <c r="I112" i="1" s="1"/>
  <c r="F79" i="1"/>
  <c r="F94" i="1"/>
  <c r="F111" i="1"/>
  <c r="G111" i="1"/>
  <c r="G112" i="1" s="1"/>
  <c r="H79" i="1"/>
  <c r="H94" i="1"/>
  <c r="H111" i="1"/>
  <c r="I111" i="1"/>
  <c r="J111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I147" i="1"/>
  <c r="I162" i="1"/>
  <c r="C10" i="10"/>
  <c r="C19" i="10"/>
  <c r="L250" i="1"/>
  <c r="L332" i="1"/>
  <c r="E113" i="2" s="1"/>
  <c r="L254" i="1"/>
  <c r="C25" i="10"/>
  <c r="L268" i="1"/>
  <c r="L269" i="1"/>
  <c r="C143" i="2" s="1"/>
  <c r="L349" i="1"/>
  <c r="L350" i="1"/>
  <c r="I665" i="1"/>
  <c r="I670" i="1"/>
  <c r="F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/>
  <c r="L531" i="1"/>
  <c r="H549" i="1" s="1"/>
  <c r="H552" i="1" s="1"/>
  <c r="L532" i="1"/>
  <c r="H550" i="1"/>
  <c r="L533" i="1"/>
  <c r="H551" i="1" s="1"/>
  <c r="L536" i="1"/>
  <c r="I549" i="1"/>
  <c r="L537" i="1"/>
  <c r="I550" i="1" s="1"/>
  <c r="L538" i="1"/>
  <c r="I551" i="1"/>
  <c r="K551" i="1" s="1"/>
  <c r="L541" i="1"/>
  <c r="J549" i="1" s="1"/>
  <c r="L542" i="1"/>
  <c r="J550" i="1"/>
  <c r="L543" i="1"/>
  <c r="J551" i="1" s="1"/>
  <c r="E132" i="2"/>
  <c r="E131" i="2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/>
  <c r="G8" i="2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C13" i="2"/>
  <c r="D13" i="2"/>
  <c r="E13" i="2"/>
  <c r="F13" i="2"/>
  <c r="I443" i="1"/>
  <c r="J14" i="1"/>
  <c r="G13" i="2" s="1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C22" i="2"/>
  <c r="D22" i="2"/>
  <c r="E22" i="2"/>
  <c r="E31" i="2" s="1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F31" i="2" s="1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 s="1"/>
  <c r="C34" i="2"/>
  <c r="D34" i="2"/>
  <c r="E34" i="2"/>
  <c r="F34" i="2"/>
  <c r="C35" i="2"/>
  <c r="D35" i="2"/>
  <c r="E35" i="2"/>
  <c r="F35" i="2"/>
  <c r="I454" i="1"/>
  <c r="J49" i="1"/>
  <c r="G48" i="2"/>
  <c r="I456" i="1"/>
  <c r="J43" i="1" s="1"/>
  <c r="G42" i="2" s="1"/>
  <c r="G50" i="2" s="1"/>
  <c r="I457" i="1"/>
  <c r="J37" i="1"/>
  <c r="I459" i="1"/>
  <c r="J48" i="1" s="1"/>
  <c r="G47" i="2" s="1"/>
  <c r="C49" i="2"/>
  <c r="D56" i="2"/>
  <c r="F56" i="2"/>
  <c r="C57" i="2"/>
  <c r="C62" i="2" s="1"/>
  <c r="E57" i="2"/>
  <c r="C58" i="2"/>
  <c r="E58" i="2"/>
  <c r="E62" i="2" s="1"/>
  <c r="C59" i="2"/>
  <c r="D59" i="2"/>
  <c r="E59" i="2"/>
  <c r="F59" i="2"/>
  <c r="D60" i="2"/>
  <c r="C61" i="2"/>
  <c r="D61" i="2"/>
  <c r="E61" i="2"/>
  <c r="F61" i="2"/>
  <c r="C66" i="2"/>
  <c r="C70" i="2" s="1"/>
  <c r="C67" i="2"/>
  <c r="C69" i="2"/>
  <c r="D69" i="2"/>
  <c r="D70" i="2"/>
  <c r="E69" i="2"/>
  <c r="E70" i="2" s="1"/>
  <c r="F69" i="2"/>
  <c r="F70" i="2"/>
  <c r="G69" i="2"/>
  <c r="G70" i="2" s="1"/>
  <c r="C72" i="2"/>
  <c r="F72" i="2"/>
  <c r="F78" i="2" s="1"/>
  <c r="F81" i="2" s="1"/>
  <c r="C73" i="2"/>
  <c r="F73" i="2"/>
  <c r="C74" i="2"/>
  <c r="C75" i="2"/>
  <c r="C78" i="2" s="1"/>
  <c r="C81" i="2" s="1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D85" i="2"/>
  <c r="F85" i="2"/>
  <c r="C87" i="2"/>
  <c r="E87" i="2"/>
  <c r="F87" i="2"/>
  <c r="C88" i="2"/>
  <c r="D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1" i="2"/>
  <c r="E111" i="2"/>
  <c r="C112" i="2"/>
  <c r="C113" i="2"/>
  <c r="C114" i="2"/>
  <c r="E114" i="2"/>
  <c r="D115" i="2"/>
  <c r="F115" i="2"/>
  <c r="G115" i="2"/>
  <c r="E118" i="2"/>
  <c r="E119" i="2"/>
  <c r="E120" i="2"/>
  <c r="E122" i="2"/>
  <c r="E123" i="2"/>
  <c r="E124" i="2"/>
  <c r="C125" i="2"/>
  <c r="F128" i="2"/>
  <c r="G128" i="2"/>
  <c r="E130" i="2"/>
  <c r="F130" i="2"/>
  <c r="F144" i="2" s="1"/>
  <c r="F145" i="2" s="1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/>
  <c r="E137" i="2"/>
  <c r="E144" i="2" s="1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G156" i="2" s="1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500" i="1"/>
  <c r="C161" i="2" s="1"/>
  <c r="H500" i="1"/>
  <c r="D161" i="2"/>
  <c r="I500" i="1"/>
  <c r="E161" i="2" s="1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503" i="1"/>
  <c r="C164" i="2" s="1"/>
  <c r="H503" i="1"/>
  <c r="D164" i="2"/>
  <c r="I503" i="1"/>
  <c r="E164" i="2" s="1"/>
  <c r="J503" i="1"/>
  <c r="F164" i="2"/>
  <c r="F19" i="1"/>
  <c r="G617" i="1" s="1"/>
  <c r="G19" i="1"/>
  <c r="G618" i="1" s="1"/>
  <c r="H19" i="1"/>
  <c r="I19" i="1"/>
  <c r="G620" i="1" s="1"/>
  <c r="F32" i="1"/>
  <c r="G32" i="1"/>
  <c r="G52" i="1" s="1"/>
  <c r="H618" i="1" s="1"/>
  <c r="H32" i="1"/>
  <c r="I32" i="1"/>
  <c r="H51" i="1"/>
  <c r="I51" i="1"/>
  <c r="F177" i="1"/>
  <c r="I177" i="1"/>
  <c r="F183" i="1"/>
  <c r="G183" i="1"/>
  <c r="H183" i="1"/>
  <c r="I183" i="1"/>
  <c r="J183" i="1"/>
  <c r="J192" i="1" s="1"/>
  <c r="F188" i="1"/>
  <c r="G188" i="1"/>
  <c r="G192" i="1" s="1"/>
  <c r="G193" i="1" s="1"/>
  <c r="H188" i="1"/>
  <c r="I188" i="1"/>
  <c r="G211" i="1"/>
  <c r="H211" i="1"/>
  <c r="I211" i="1"/>
  <c r="J211" i="1"/>
  <c r="H604" i="1" s="1"/>
  <c r="F663" i="1" s="1"/>
  <c r="K211" i="1"/>
  <c r="K257" i="1" s="1"/>
  <c r="K271" i="1" s="1"/>
  <c r="F229" i="1"/>
  <c r="G229" i="1"/>
  <c r="H229" i="1"/>
  <c r="I229" i="1"/>
  <c r="J229" i="1"/>
  <c r="I604" i="1" s="1"/>
  <c r="I605" i="1" s="1"/>
  <c r="K229" i="1"/>
  <c r="F247" i="1"/>
  <c r="G247" i="1"/>
  <c r="H247" i="1"/>
  <c r="I247" i="1"/>
  <c r="J247" i="1"/>
  <c r="K247" i="1"/>
  <c r="F256" i="1"/>
  <c r="G256" i="1"/>
  <c r="H256" i="1"/>
  <c r="I256" i="1"/>
  <c r="L256" i="1" s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L337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H434" i="1" s="1"/>
  <c r="I427" i="1"/>
  <c r="J427" i="1"/>
  <c r="L429" i="1"/>
  <c r="L430" i="1"/>
  <c r="L431" i="1"/>
  <c r="L432" i="1"/>
  <c r="L433" i="1" s="1"/>
  <c r="F433" i="1"/>
  <c r="G433" i="1"/>
  <c r="H433" i="1"/>
  <c r="I433" i="1"/>
  <c r="J433" i="1"/>
  <c r="F446" i="1"/>
  <c r="G446" i="1"/>
  <c r="H446" i="1"/>
  <c r="G641" i="1" s="1"/>
  <c r="F452" i="1"/>
  <c r="G452" i="1"/>
  <c r="H452" i="1"/>
  <c r="H461" i="1" s="1"/>
  <c r="H641" i="1" s="1"/>
  <c r="F460" i="1"/>
  <c r="G460" i="1"/>
  <c r="H460" i="1"/>
  <c r="I460" i="1"/>
  <c r="F461" i="1"/>
  <c r="G461" i="1"/>
  <c r="I470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I545" i="1" s="1"/>
  <c r="J524" i="1"/>
  <c r="J545" i="1" s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F571" i="1" s="1"/>
  <c r="G565" i="1"/>
  <c r="H565" i="1"/>
  <c r="I565" i="1"/>
  <c r="J565" i="1"/>
  <c r="J571" i="1" s="1"/>
  <c r="K565" i="1"/>
  <c r="L567" i="1"/>
  <c r="L568" i="1"/>
  <c r="L569" i="1"/>
  <c r="F570" i="1"/>
  <c r="G570" i="1"/>
  <c r="H570" i="1"/>
  <c r="I570" i="1"/>
  <c r="J570" i="1"/>
  <c r="K570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651" i="1"/>
  <c r="J651" i="1" s="1"/>
  <c r="K602" i="1"/>
  <c r="K603" i="1"/>
  <c r="J605" i="1"/>
  <c r="F614" i="1"/>
  <c r="G614" i="1"/>
  <c r="H614" i="1"/>
  <c r="I614" i="1"/>
  <c r="J614" i="1"/>
  <c r="K614" i="1"/>
  <c r="L614" i="1"/>
  <c r="G619" i="1"/>
  <c r="G624" i="1"/>
  <c r="H630" i="1"/>
  <c r="G634" i="1"/>
  <c r="H634" i="1"/>
  <c r="H636" i="1"/>
  <c r="H638" i="1"/>
  <c r="G639" i="1"/>
  <c r="H639" i="1"/>
  <c r="G640" i="1"/>
  <c r="H640" i="1"/>
  <c r="G643" i="1"/>
  <c r="G644" i="1"/>
  <c r="H644" i="1"/>
  <c r="H645" i="1"/>
  <c r="G649" i="1"/>
  <c r="G650" i="1"/>
  <c r="G651" i="1"/>
  <c r="G652" i="1"/>
  <c r="H652" i="1"/>
  <c r="G653" i="1"/>
  <c r="H653" i="1"/>
  <c r="G654" i="1"/>
  <c r="H654" i="1"/>
  <c r="H655" i="1"/>
  <c r="J655" i="1" s="1"/>
  <c r="F192" i="1"/>
  <c r="C26" i="10"/>
  <c r="L351" i="1"/>
  <c r="A31" i="12"/>
  <c r="D62" i="2"/>
  <c r="D63" i="2" s="1"/>
  <c r="C18" i="13"/>
  <c r="D6" i="13"/>
  <c r="C6" i="13" s="1"/>
  <c r="D50" i="2"/>
  <c r="G157" i="2"/>
  <c r="D91" i="2"/>
  <c r="E78" i="2"/>
  <c r="E81" i="2" s="1"/>
  <c r="J639" i="1"/>
  <c r="K571" i="1"/>
  <c r="I169" i="1"/>
  <c r="J644" i="1"/>
  <c r="I476" i="1"/>
  <c r="H625" i="1" s="1"/>
  <c r="J140" i="1"/>
  <c r="G22" i="2"/>
  <c r="K545" i="1"/>
  <c r="C29" i="10"/>
  <c r="H140" i="1"/>
  <c r="F22" i="13"/>
  <c r="C22" i="13" s="1"/>
  <c r="H25" i="13"/>
  <c r="C25" i="13"/>
  <c r="J640" i="1"/>
  <c r="J634" i="1"/>
  <c r="H571" i="1"/>
  <c r="L560" i="1"/>
  <c r="F338" i="1"/>
  <c r="F352" i="1" s="1"/>
  <c r="H192" i="1"/>
  <c r="L309" i="1"/>
  <c r="D5" i="13"/>
  <c r="C5" i="13" s="1"/>
  <c r="L570" i="1"/>
  <c r="I571" i="1"/>
  <c r="G36" i="2"/>
  <c r="L565" i="1"/>
  <c r="H33" i="13"/>
  <c r="F62" i="2"/>
  <c r="F63" i="2"/>
  <c r="F104" i="2" s="1"/>
  <c r="C23" i="10"/>
  <c r="G163" i="2"/>
  <c r="G162" i="2"/>
  <c r="G160" i="2"/>
  <c r="G159" i="2"/>
  <c r="G158" i="2"/>
  <c r="G103" i="2"/>
  <c r="F103" i="2"/>
  <c r="C103" i="2"/>
  <c r="F91" i="2"/>
  <c r="E18" i="2"/>
  <c r="F50" i="2"/>
  <c r="F51" i="2" s="1"/>
  <c r="C24" i="10"/>
  <c r="G31" i="13"/>
  <c r="G33" i="13" s="1"/>
  <c r="L407" i="1"/>
  <c r="C140" i="2"/>
  <c r="L571" i="1"/>
  <c r="I192" i="1"/>
  <c r="J654" i="1"/>
  <c r="J653" i="1"/>
  <c r="J434" i="1"/>
  <c r="F434" i="1"/>
  <c r="K434" i="1"/>
  <c r="G134" i="2" s="1"/>
  <c r="G144" i="2" s="1"/>
  <c r="G145" i="2" s="1"/>
  <c r="C6" i="10"/>
  <c r="F31" i="13"/>
  <c r="G169" i="1"/>
  <c r="G140" i="1"/>
  <c r="F140" i="1"/>
  <c r="C38" i="10" s="1"/>
  <c r="C5" i="10"/>
  <c r="J51" i="1"/>
  <c r="G16" i="2"/>
  <c r="F33" i="13"/>
  <c r="D103" i="2"/>
  <c r="I140" i="1"/>
  <c r="I193" i="1" s="1"/>
  <c r="G630" i="1" s="1"/>
  <c r="J630" i="1" s="1"/>
  <c r="J652" i="1"/>
  <c r="G571" i="1"/>
  <c r="I434" i="1"/>
  <c r="G434" i="1"/>
  <c r="G626" i="1"/>
  <c r="H52" i="1" l="1"/>
  <c r="H619" i="1" s="1"/>
  <c r="J619" i="1" s="1"/>
  <c r="E51" i="2"/>
  <c r="D31" i="2"/>
  <c r="D51" i="2" s="1"/>
  <c r="J618" i="1"/>
  <c r="C31" i="2"/>
  <c r="A13" i="12"/>
  <c r="J650" i="1"/>
  <c r="H545" i="1"/>
  <c r="G545" i="1"/>
  <c r="F545" i="1"/>
  <c r="F552" i="1"/>
  <c r="L524" i="1"/>
  <c r="L545" i="1" s="1"/>
  <c r="G661" i="1"/>
  <c r="I338" i="1"/>
  <c r="I352" i="1" s="1"/>
  <c r="C12" i="10"/>
  <c r="C11" i="10"/>
  <c r="H338" i="1"/>
  <c r="H352" i="1" s="1"/>
  <c r="G338" i="1"/>
  <c r="G352" i="1" s="1"/>
  <c r="H647" i="1"/>
  <c r="H257" i="1"/>
  <c r="H271" i="1" s="1"/>
  <c r="G662" i="1"/>
  <c r="I662" i="1" s="1"/>
  <c r="C21" i="10"/>
  <c r="D15" i="13"/>
  <c r="C15" i="13" s="1"/>
  <c r="J649" i="1"/>
  <c r="C124" i="2"/>
  <c r="C121" i="2"/>
  <c r="D12" i="13"/>
  <c r="C12" i="13" s="1"/>
  <c r="E8" i="13"/>
  <c r="C8" i="13" s="1"/>
  <c r="C119" i="2"/>
  <c r="C118" i="2"/>
  <c r="G257" i="1"/>
  <c r="G271" i="1" s="1"/>
  <c r="C110" i="2"/>
  <c r="C115" i="2" s="1"/>
  <c r="J257" i="1"/>
  <c r="J271" i="1" s="1"/>
  <c r="K604" i="1"/>
  <c r="K605" i="1" s="1"/>
  <c r="G648" i="1" s="1"/>
  <c r="G663" i="1"/>
  <c r="I663" i="1" s="1"/>
  <c r="C109" i="2"/>
  <c r="C50" i="2"/>
  <c r="L393" i="1"/>
  <c r="C138" i="2" s="1"/>
  <c r="L427" i="1"/>
  <c r="J112" i="1"/>
  <c r="J193" i="1" s="1"/>
  <c r="J643" i="1"/>
  <c r="G104" i="2"/>
  <c r="G645" i="1"/>
  <c r="J645" i="1" s="1"/>
  <c r="F112" i="1"/>
  <c r="C35" i="10"/>
  <c r="C63" i="2"/>
  <c r="G468" i="1"/>
  <c r="G628" i="1"/>
  <c r="J641" i="1"/>
  <c r="L419" i="1"/>
  <c r="G164" i="2"/>
  <c r="D81" i="2"/>
  <c r="D104" i="2" s="1"/>
  <c r="J13" i="1"/>
  <c r="G12" i="2" s="1"/>
  <c r="G18" i="2" s="1"/>
  <c r="I446" i="1"/>
  <c r="G642" i="1" s="1"/>
  <c r="F18" i="2"/>
  <c r="J552" i="1"/>
  <c r="I552" i="1"/>
  <c r="K550" i="1"/>
  <c r="E85" i="2"/>
  <c r="C85" i="2"/>
  <c r="C91" i="2" s="1"/>
  <c r="F169" i="1"/>
  <c r="L401" i="1"/>
  <c r="K598" i="1"/>
  <c r="G647" i="1" s="1"/>
  <c r="J647" i="1" s="1"/>
  <c r="J22" i="1"/>
  <c r="I452" i="1"/>
  <c r="I461" i="1" s="1"/>
  <c r="H642" i="1" s="1"/>
  <c r="E56" i="2"/>
  <c r="E63" i="2" s="1"/>
  <c r="H112" i="1"/>
  <c r="F52" i="1"/>
  <c r="H617" i="1" s="1"/>
  <c r="J617" i="1" s="1"/>
  <c r="G622" i="1"/>
  <c r="E88" i="2"/>
  <c r="H162" i="1"/>
  <c r="H169" i="1" s="1"/>
  <c r="H605" i="1"/>
  <c r="I257" i="1"/>
  <c r="I271" i="1" s="1"/>
  <c r="I52" i="1"/>
  <c r="H620" i="1" s="1"/>
  <c r="J620" i="1" s="1"/>
  <c r="G625" i="1"/>
  <c r="J625" i="1" s="1"/>
  <c r="G161" i="2"/>
  <c r="D18" i="2"/>
  <c r="C18" i="2"/>
  <c r="L270" i="1"/>
  <c r="K549" i="1"/>
  <c r="C15" i="10"/>
  <c r="J19" i="1"/>
  <c r="G621" i="1" s="1"/>
  <c r="E103" i="2"/>
  <c r="L382" i="1"/>
  <c r="G636" i="1" s="1"/>
  <c r="J636" i="1" s="1"/>
  <c r="C32" i="10"/>
  <c r="C131" i="2"/>
  <c r="L328" i="1"/>
  <c r="E125" i="2"/>
  <c r="C18" i="10"/>
  <c r="E121" i="2"/>
  <c r="E128" i="2" s="1"/>
  <c r="L290" i="1"/>
  <c r="E112" i="2"/>
  <c r="E115" i="2" s="1"/>
  <c r="K338" i="1"/>
  <c r="K352" i="1" s="1"/>
  <c r="L362" i="1"/>
  <c r="D127" i="2"/>
  <c r="D128" i="2" s="1"/>
  <c r="D145" i="2" s="1"/>
  <c r="F661" i="1"/>
  <c r="D29" i="13"/>
  <c r="C29" i="13" s="1"/>
  <c r="H661" i="1"/>
  <c r="D7" i="13"/>
  <c r="C7" i="13" s="1"/>
  <c r="C16" i="10"/>
  <c r="H660" i="1"/>
  <c r="L229" i="1"/>
  <c r="G660" i="1" s="1"/>
  <c r="C13" i="10"/>
  <c r="C17" i="10"/>
  <c r="C122" i="2"/>
  <c r="E13" i="13"/>
  <c r="F211" i="1"/>
  <c r="F257" i="1" s="1"/>
  <c r="F271" i="1" s="1"/>
  <c r="L207" i="1"/>
  <c r="L211" i="1" s="1"/>
  <c r="C51" i="2" l="1"/>
  <c r="K552" i="1"/>
  <c r="G664" i="1"/>
  <c r="G672" i="1" s="1"/>
  <c r="H648" i="1"/>
  <c r="J648" i="1" s="1"/>
  <c r="F193" i="1"/>
  <c r="L434" i="1"/>
  <c r="G638" i="1" s="1"/>
  <c r="J638" i="1" s="1"/>
  <c r="G646" i="1"/>
  <c r="G631" i="1"/>
  <c r="C104" i="2"/>
  <c r="G627" i="1"/>
  <c r="F468" i="1"/>
  <c r="G472" i="1"/>
  <c r="G635" i="1"/>
  <c r="C27" i="10"/>
  <c r="L408" i="1"/>
  <c r="C139" i="2"/>
  <c r="C141" i="2" s="1"/>
  <c r="L338" i="1"/>
  <c r="L352" i="1" s="1"/>
  <c r="D31" i="13"/>
  <c r="C31" i="13" s="1"/>
  <c r="H193" i="1"/>
  <c r="C13" i="13"/>
  <c r="E33" i="13"/>
  <c r="D35" i="13" s="1"/>
  <c r="F660" i="1"/>
  <c r="L257" i="1"/>
  <c r="L271" i="1" s="1"/>
  <c r="H664" i="1"/>
  <c r="C39" i="10"/>
  <c r="J642" i="1"/>
  <c r="G470" i="1"/>
  <c r="H628" i="1"/>
  <c r="J628" i="1" s="1"/>
  <c r="E91" i="2"/>
  <c r="E104" i="2" s="1"/>
  <c r="D14" i="13"/>
  <c r="C14" i="13" s="1"/>
  <c r="C20" i="10"/>
  <c r="C123" i="2"/>
  <c r="C128" i="2" s="1"/>
  <c r="I661" i="1"/>
  <c r="E145" i="2"/>
  <c r="G21" i="2"/>
  <c r="G31" i="2" s="1"/>
  <c r="G51" i="2" s="1"/>
  <c r="J32" i="1"/>
  <c r="J52" i="1" s="1"/>
  <c r="H621" i="1" s="1"/>
  <c r="J621" i="1" s="1"/>
  <c r="C36" i="10"/>
  <c r="G667" i="1" l="1"/>
  <c r="C144" i="2"/>
  <c r="C145" i="2"/>
  <c r="H468" i="1"/>
  <c r="G629" i="1"/>
  <c r="G632" i="1"/>
  <c r="F472" i="1"/>
  <c r="C28" i="10"/>
  <c r="F664" i="1"/>
  <c r="I660" i="1"/>
  <c r="I664" i="1" s="1"/>
  <c r="D33" i="13"/>
  <c r="D36" i="13" s="1"/>
  <c r="H667" i="1"/>
  <c r="H672" i="1"/>
  <c r="F470" i="1"/>
  <c r="H627" i="1"/>
  <c r="J627" i="1" s="1"/>
  <c r="C41" i="10"/>
  <c r="H472" i="1"/>
  <c r="G633" i="1"/>
  <c r="G637" i="1"/>
  <c r="H646" i="1"/>
  <c r="J646" i="1" s="1"/>
  <c r="H635" i="1"/>
  <c r="J635" i="1" s="1"/>
  <c r="G474" i="1"/>
  <c r="G476" i="1" s="1"/>
  <c r="H623" i="1" s="1"/>
  <c r="J623" i="1" s="1"/>
  <c r="D40" i="10" l="1"/>
  <c r="D37" i="10"/>
  <c r="D38" i="10"/>
  <c r="D35" i="10"/>
  <c r="D23" i="10"/>
  <c r="C30" i="10"/>
  <c r="D26" i="10"/>
  <c r="D21" i="10"/>
  <c r="D24" i="10"/>
  <c r="D12" i="10"/>
  <c r="D11" i="10"/>
  <c r="D25" i="10"/>
  <c r="D22" i="10"/>
  <c r="D19" i="10"/>
  <c r="D10" i="10"/>
  <c r="D18" i="10"/>
  <c r="D16" i="10"/>
  <c r="D15" i="10"/>
  <c r="D17" i="10"/>
  <c r="D13" i="10"/>
  <c r="D36" i="10"/>
  <c r="H474" i="1"/>
  <c r="H633" i="1"/>
  <c r="J633" i="1" s="1"/>
  <c r="F672" i="1"/>
  <c r="C4" i="10" s="1"/>
  <c r="F667" i="1"/>
  <c r="D39" i="10"/>
  <c r="J470" i="1"/>
  <c r="J476" i="1" s="1"/>
  <c r="H626" i="1" s="1"/>
  <c r="J626" i="1" s="1"/>
  <c r="H631" i="1"/>
  <c r="J631" i="1" s="1"/>
  <c r="H637" i="1"/>
  <c r="J637" i="1" s="1"/>
  <c r="F474" i="1"/>
  <c r="F476" i="1" s="1"/>
  <c r="H622" i="1" s="1"/>
  <c r="J622" i="1" s="1"/>
  <c r="H632" i="1"/>
  <c r="J632" i="1" s="1"/>
  <c r="D20" i="10"/>
  <c r="D27" i="10"/>
  <c r="I667" i="1"/>
  <c r="I672" i="1"/>
  <c r="C7" i="10" s="1"/>
  <c r="H470" i="1"/>
  <c r="H629" i="1"/>
  <c r="J629" i="1" s="1"/>
  <c r="D28" i="10" l="1"/>
  <c r="H476" i="1"/>
  <c r="H624" i="1" s="1"/>
  <c r="J624" i="1" s="1"/>
  <c r="D41" i="10"/>
  <c r="H656" i="1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<sst xmlns="http://schemas.openxmlformats.org/spreadsheetml/2006/main" count="3964" uniqueCount="916">
  <si>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</si>
  <si>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</si>
  <si>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</si>
  <si>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</si>
  <si>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</si>
  <si>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</si>
  <si>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</si>
  <si>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</si>
  <si>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</si>
  <si>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</si>
  <si>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</si>
  <si>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</si>
  <si>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</si>
  <si>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</si>
  <si>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</si>
  <si>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</si>
  <si>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</si>
  <si>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</si>
  <si>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</si>
  <si>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</si>
  <si>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</si>
  <si>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</si>
  <si>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</si>
  <si>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</si>
  <si>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</si>
  <si>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</si>
  <si>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</si>
  <si>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</si>
  <si>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</si>
  <si>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</si>
  <si>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</si>
  <si>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</si>
  <si>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</si>
  <si>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</si>
  <si>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</si>
  <si>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</si>
  <si>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</si>
  <si>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</si>
  <si>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</si>
  <si>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</si>
  <si>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</si>
  <si>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</si>
  <si>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</si>
  <si>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</si>
  <si>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</si>
  <si>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</si>
  <si>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</si>
  <si>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</si>
  <si>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</si>
  <si>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</si>
  <si>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</si>
  <si>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</si>
  <si>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</si>
  <si>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</si>
  <si>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</si>
  <si>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</si>
  <si>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</si>
  <si>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</si>
  <si>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</si>
  <si>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</si>
  <si>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</si>
  <si>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</si>
  <si>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</si>
  <si>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</si>
  <si>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</si>
  <si>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</si>
  <si>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</si>
  <si>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</si>
  <si>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</si>
  <si>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</si>
  <si>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</si>
  <si>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</si>
  <si>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</si>
  <si>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</si>
  <si>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</si>
  <si>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</si>
  <si>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</si>
  <si>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</si>
  <si>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</si>
  <si>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</si>
  <si>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</si>
  <si>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</si>
  <si>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</si>
  <si>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</si>
  <si>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</si>
  <si>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</si>
  <si>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</si>
  <si>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</si>
  <si>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</si>
  <si>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</si>
  <si>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</si>
  <si>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</si>
  <si>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</si>
  <si>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</si>
  <si>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</si>
  <si>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</si>
  <si>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</si>
  <si>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</si>
  <si>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</si>
  <si>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</si>
  <si>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</si>
  <si>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</si>
  <si>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</si>
  <si>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</si>
  <si>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</si>
  <si>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</si>
  <si>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</si>
  <si>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</si>
  <si>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</si>
  <si>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</si>
  <si>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</si>
  <si>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</si>
  <si>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</si>
  <si>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</si>
  <si>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</si>
  <si>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</si>
  <si>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</si>
  <si>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</si>
  <si>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</si>
  <si>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</si>
  <si>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</si>
  <si>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</si>
  <si>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</si>
  <si>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</si>
  <si>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</si>
  <si>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</si>
  <si>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</si>
  <si>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</si>
  <si>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</si>
  <si>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</si>
  <si>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</si>
  <si>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</si>
  <si>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</si>
  <si>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</si>
  <si>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</si>
  <si>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</si>
  <si>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</si>
  <si>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</si>
  <si>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</si>
  <si>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</si>
  <si>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</si>
  <si>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</si>
  <si>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</si>
  <si>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</si>
  <si>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</si>
  <si>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</si>
  <si>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</si>
  <si>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</si>
  <si>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</si>
  <si>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</si>
  <si>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</si>
  <si>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</si>
  <si>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</si>
  <si>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</si>
  <si>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</si>
  <si>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</si>
  <si>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</si>
  <si>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</si>
  <si>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</si>
  <si>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</si>
  <si>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</si>
  <si>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</si>
  <si>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</si>
  <si>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</si>
  <si>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</si>
  <si>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</si>
  <si>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</si>
  <si>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</si>
  <si>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</si>
  <si>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</si>
  <si>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</si>
  <si>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</si>
  <si>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</si>
  <si>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</si>
  <si>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</si>
  <si>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</si>
  <si>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</si>
  <si>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</si>
  <si>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</si>
  <si>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</si>
  <si>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</si>
  <si>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</si>
  <si>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</si>
  <si>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</si>
  <si>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</si>
  <si>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</si>
  <si>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</si>
  <si>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</si>
  <si>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</si>
  <si>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</si>
  <si>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</si>
  <si>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</si>
  <si>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</si>
  <si>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</si>
  <si>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</si>
  <si>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</si>
  <si>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</si>
  <si>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</si>
  <si>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</si>
  <si>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</si>
  <si>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</si>
  <si>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</si>
  <si>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</si>
  <si>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</si>
  <si>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</si>
  <si>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</si>
  <si>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</si>
  <si>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</si>
  <si>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</si>
  <si>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</si>
  <si>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</si>
  <si>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</si>
  <si>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</si>
  <si>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</si>
  <si>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</si>
  <si>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</si>
  <si>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</si>
  <si>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</si>
  <si>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</si>
  <si>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</si>
  <si>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</si>
  <si>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</si>
  <si>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</si>
  <si>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</si>
  <si>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</si>
  <si>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</si>
  <si>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</si>
  <si>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</si>
  <si>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</si>
  <si>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</si>
  <si>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</si>
  <si>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</si>
  <si>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</si>
  <si>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</si>
  <si>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</si>
  <si>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</si>
  <si>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</si>
  <si>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</si>
  <si>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</si>
  <si>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</si>
  <si>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</si>
  <si>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</si>
  <si>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</si>
  <si>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</si>
  <si>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</si>
  <si>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</si>
  <si>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</si>
  <si>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</si>
  <si>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</si>
  <si>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</si>
  <si>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</si>
  <si>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</si>
  <si>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</si>
  <si>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</si>
  <si>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</si>
  <si>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</si>
  <si>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</si>
  <si>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</si>
  <si>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</si>
  <si>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</si>
  <si>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</si>
  <si>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</si>
  <si>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</si>
  <si>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</si>
  <si>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</si>
  <si>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</si>
  <si>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</si>
  <si>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</si>
  <si>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</si>
  <si>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</si>
  <si>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</si>
  <si>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</si>
  <si>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</si>
  <si>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</si>
  <si>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</si>
  <si>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</si>
  <si>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</si>
  <si>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</si>
  <si>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</si>
  <si>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</si>
  <si>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</si>
  <si>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</si>
  <si>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</si>
  <si>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</si>
  <si>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</si>
  <si>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</si>
  <si>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</si>
  <si>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</si>
  <si>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</si>
  <si>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</si>
  <si>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</si>
  <si>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</si>
  <si>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</si>
  <si>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</si>
  <si>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</si>
  <si>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</si>
  <si>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</si>
  <si>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</si>
  <si>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</si>
  <si>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</si>
  <si>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</si>
  <si>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</si>
  <si>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</si>
  <si>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</si>
  <si>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</si>
  <si>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</si>
  <si>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</si>
  <si>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</si>
  <si>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</si>
  <si>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</si>
  <si>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</si>
  <si>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</si>
  <si>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</si>
  <si>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</si>
  <si>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</si>
  <si>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</si>
  <si>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</si>
  <si>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</si>
  <si>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</si>
  <si>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</si>
  <si>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</si>
  <si>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</si>
  <si>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</si>
  <si>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</si>
  <si>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</si>
  <si>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</si>
  <si>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</si>
  <si>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</si>
  <si>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</si>
  <si>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</si>
  <si>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</si>
  <si>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</si>
  <si>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</si>
  <si>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</si>
  <si>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</si>
  <si>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</si>
  <si>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</si>
  <si>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</si>
  <si>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</si>
  <si>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</si>
  <si>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</si>
  <si>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</si>
  <si>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</si>
  <si>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</si>
  <si>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</si>
  <si>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</si>
  <si>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</si>
  <si>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</si>
  <si>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</si>
  <si>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</si>
  <si>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</si>
  <si>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</si>
  <si>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</si>
  <si>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</si>
  <si>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</si>
  <si>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</si>
  <si>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</si>
  <si>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</si>
  <si>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</si>
  <si>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</si>
  <si>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</si>
  <si>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</si>
  <si>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</si>
  <si>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</si>
  <si>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</si>
  <si>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</si>
  <si>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</si>
  <si>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</si>
  <si>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</si>
  <si>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</si>
  <si>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</si>
  <si>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</si>
  <si>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</si>
  <si>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</si>
  <si>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</si>
  <si>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</si>
  <si>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</si>
  <si>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</si>
  <si>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</si>
  <si>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</si>
  <si>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</si>
  <si>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</si>
  <si>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</si>
  <si>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</si>
  <si>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</si>
  <si>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</si>
  <si>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</si>
  <si>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</si>
  <si>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</si>
  <si>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</si>
  <si>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</si>
  <si>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</si>
  <si>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</si>
  <si>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</si>
  <si>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</si>
  <si>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</si>
  <si>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</si>
  <si>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</si>
  <si>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</si>
  <si>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</si>
  <si>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</si>
  <si>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</si>
  <si>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</si>
  <si>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</si>
  <si>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</si>
  <si>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</si>
  <si>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</si>
  <si>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</si>
  <si>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</si>
  <si>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</si>
  <si>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</si>
  <si>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</si>
  <si>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</si>
  <si>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</si>
  <si>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</si>
  <si>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</si>
  <si>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</si>
  <si>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</si>
  <si>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</si>
  <si>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</si>
  <si>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</si>
  <si>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</si>
  <si>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</si>
  <si>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</si>
  <si>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</si>
  <si>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</si>
  <si>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</si>
  <si>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</si>
  <si>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</si>
  <si>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</si>
  <si>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</si>
  <si>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</si>
  <si>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</si>
  <si>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</si>
  <si>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</si>
  <si>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</si>
  <si>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</si>
  <si>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</si>
  <si>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</si>
  <si>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</si>
  <si>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</si>
  <si>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</si>
  <si>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</si>
  <si>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</si>
  <si>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</si>
  <si>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</si>
  <si>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</si>
  <si>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</si>
  <si>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</si>
  <si>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</si>
  <si>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</si>
  <si>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</si>
  <si>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</si>
  <si>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</si>
  <si>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</si>
  <si>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</si>
  <si>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</si>
  <si>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</si>
  <si>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</si>
  <si>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</si>
  <si>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</si>
  <si>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</si>
  <si>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</si>
  <si>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</si>
  <si>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</si>
  <si>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</si>
  <si>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</si>
  <si>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</si>
  <si>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</si>
  <si>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</si>
  <si>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</si>
  <si>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</si>
  <si>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</si>
  <si>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</si>
  <si>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</si>
  <si>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</si>
  <si>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</si>
  <si>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</si>
  <si>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</si>
  <si>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</si>
  <si>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</si>
  <si>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</si>
  <si>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</si>
  <si>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</si>
  <si>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</si>
  <si>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</si>
  <si>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</si>
  <si>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</si>
  <si>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</si>
  <si>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</si>
  <si>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</si>
  <si>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</si>
  <si>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</si>
  <si>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</si>
  <si>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</si>
  <si>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</si>
  <si>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</si>
  <si>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</si>
  <si>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</si>
  <si>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</si>
  <si>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</si>
  <si>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</si>
  <si>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</si>
  <si>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</si>
  <si>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</si>
  <si>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</si>
  <si>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</si>
  <si>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</si>
  <si>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</si>
  <si>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</si>
  <si>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</si>
  <si>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</si>
  <si>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</si>
  <si>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</si>
  <si>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</si>
  <si>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</si>
  <si>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</si>
  <si>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</si>
  <si>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</si>
  <si>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</si>
  <si>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</si>
  <si>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</si>
  <si>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</si>
  <si>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</si>
  <si>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</si>
  <si>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</si>
  <si>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</si>
  <si>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</si>
  <si>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</si>
  <si>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</si>
  <si>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</si>
  <si>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</si>
  <si>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</si>
  <si>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</si>
  <si>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</si>
  <si>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</si>
  <si>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</si>
  <si>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</si>
  <si>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</si>
  <si>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</si>
  <si>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</si>
  <si>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</si>
  <si>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</si>
  <si>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</si>
  <si>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</si>
  <si>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</si>
  <si>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</si>
  <si>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</si>
  <si>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</si>
  <si>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</si>
  <si>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</si>
  <si>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</si>
  <si>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</si>
  <si>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</si>
  <si>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</si>
  <si>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</si>
  <si>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</si>
  <si>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</si>
  <si>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</si>
  <si>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</si>
  <si>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</si>
  <si>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</si>
  <si>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</si>
  <si>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</si>
  <si>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</si>
  <si>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</si>
  <si>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</si>
  <si>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</si>
  <si>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</si>
  <si>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</si>
  <si>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</si>
  <si>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</si>
  <si>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</si>
  <si>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</si>
  <si>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</si>
  <si>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</si>
  <si>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</si>
  <si>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</si>
  <si>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</si>
  <si>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</si>
  <si>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</si>
  <si>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</si>
  <si>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</si>
  <si>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</si>
  <si>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</si>
  <si>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</si>
  <si>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</si>
  <si>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</si>
  <si>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</si>
  <si>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</si>
  <si>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</si>
  <si>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</si>
  <si>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</si>
  <si>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</si>
  <si>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</si>
  <si>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</si>
  <si>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</si>
  <si>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</si>
  <si>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</si>
  <si>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</si>
  <si>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</si>
  <si>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</si>
  <si>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</si>
  <si>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</si>
  <si>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</si>
  <si>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</si>
  <si>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</si>
  <si>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</si>
  <si>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</si>
  <si>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</si>
  <si>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</si>
  <si>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</si>
  <si>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</si>
  <si>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</si>
  <si>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</si>
  <si>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</si>
  <si>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</si>
  <si>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</si>
  <si>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</si>
  <si>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</si>
  <si>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</si>
  <si>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</si>
  <si>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</si>
  <si>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</si>
  <si>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</si>
  <si>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</si>
  <si>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</si>
  <si>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</si>
  <si>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</si>
  <si>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</si>
  <si>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</si>
  <si>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</si>
  <si>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</si>
  <si>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</si>
  <si>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</si>
  <si>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</si>
  <si>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</si>
  <si>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</si>
  <si>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</si>
  <si>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</si>
  <si>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</si>
  <si>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</si>
  <si>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</si>
  <si>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</si>
  <si>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</si>
  <si>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</si>
  <si>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</si>
  <si>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</si>
  <si>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</si>
  <si>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</si>
  <si>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</si>
  <si>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</si>
  <si>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</si>
  <si>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</si>
  <si>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</si>
  <si>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</si>
  <si>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</si>
  <si>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</si>
  <si>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</si>
  <si>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</si>
  <si>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</si>
  <si>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</si>
  <si>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</si>
  <si>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</si>
  <si>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</si>
  <si>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</si>
  <si>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</si>
  <si>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</si>
  <si>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</si>
  <si>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</si>
  <si>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</si>
  <si>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</si>
  <si>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</si>
  <si>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</si>
  <si>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</si>
  <si>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</si>
  <si>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</si>
  <si>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</si>
  <si>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</si>
  <si>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</si>
  <si>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</si>
  <si>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</si>
  <si>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</si>
  <si>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</si>
  <si>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</si>
  <si>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</si>
  <si>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</si>
  <si>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</si>
  <si>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</si>
  <si>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</si>
  <si>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</si>
  <si>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</si>
  <si>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</si>
  <si>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</si>
  <si>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</si>
  <si>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</si>
  <si>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</si>
  <si>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</si>
  <si>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</si>
  <si>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</si>
  <si>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</si>
  <si>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</si>
  <si>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</si>
  <si>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</si>
  <si>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</si>
  <si>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</si>
  <si>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</si>
  <si>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</si>
  <si>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</si>
  <si>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</si>
  <si>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</si>
  <si>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</si>
  <si>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</si>
  <si>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</si>
  <si>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</si>
  <si>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</si>
  <si>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</si>
  <si>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</si>
  <si>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</si>
  <si>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</si>
  <si>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</si>
  <si>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</si>
  <si>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</si>
  <si>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</si>
  <si>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</si>
  <si>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</si>
  <si>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</si>
  <si>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</si>
  <si>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</si>
  <si>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</si>
  <si>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</si>
  <si>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</si>
  <si>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</si>
  <si>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</si>
  <si>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</si>
  <si>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</si>
  <si>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</si>
  <si>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</si>
  <si>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</si>
  <si>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</si>
  <si>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</si>
  <si>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</si>
  <si>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</si>
  <si>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</si>
  <si>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</si>
  <si>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</si>
  <si>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</si>
  <si>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</si>
  <si>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</si>
  <si>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</si>
  <si>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</si>
  <si>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</si>
  <si>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</si>
  <si>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</si>
  <si>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</si>
  <si>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</si>
  <si>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</si>
  <si>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</si>
  <si>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</si>
  <si>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</si>
  <si>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</si>
  <si>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</si>
  <si>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</si>
  <si>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</si>
  <si>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</si>
  <si>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</si>
  <si>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</si>
  <si>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</si>
  <si>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</si>
  <si>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</si>
  <si>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</si>
  <si>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</si>
  <si>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</si>
  <si>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</si>
  <si>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</si>
  <si>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</si>
  <si>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</si>
  <si>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</si>
  <si>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</si>
  <si>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</si>
  <si>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</si>
  <si>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</si>
  <si>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</si>
  <si>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</si>
  <si>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</si>
  <si>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</si>
  <si>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</si>
  <si>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</si>
  <si>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</si>
  <si>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</si>
  <si>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</si>
  <si>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</si>
  <si>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</si>
  <si>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</si>
  <si>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</si>
  <si>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</si>
  <si>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</si>
  <si>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</si>
  <si>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</si>
  <si>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</si>
  <si>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</si>
  <si>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</si>
  <si>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</si>
  <si>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</si>
  <si>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</si>
  <si>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</si>
  <si>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</si>
  <si>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</si>
  <si>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</si>
  <si>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</si>
  <si>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</si>
  <si>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</si>
  <si>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</si>
  <si>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</si>
  <si>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</si>
  <si>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</si>
  <si>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</si>
  <si>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</si>
  <si>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</si>
  <si>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</si>
  <si>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</si>
  <si>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</si>
  <si>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</si>
  <si>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</si>
  <si>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</si>
  <si>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</si>
  <si>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</si>
  <si>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</si>
  <si>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</si>
  <si>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</si>
  <si>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</si>
  <si>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</si>
  <si>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</si>
  <si>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</si>
  <si>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</si>
  <si>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</si>
  <si>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</si>
  <si>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</si>
  <si>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</si>
  <si>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</si>
  <si>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</si>
  <si>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</si>
  <si>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</si>
  <si>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</si>
  <si>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</si>
  <si>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</si>
  <si>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</si>
  <si>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</si>
  <si>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</si>
  <si>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</si>
  <si>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</si>
  <si>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</si>
  <si>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</si>
  <si>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</si>
  <si>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</si>
  <si>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</si>
  <si>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</si>
  <si>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</si>
  <si>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</si>
  <si>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</si>
  <si>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</si>
  <si>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</si>
  <si>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</si>
  <si>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</si>
  <si>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</si>
  <si>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</si>
  <si>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</si>
  <si>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</si>
  <si>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</si>
  <si>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</si>
  <si>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</si>
  <si>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</si>
  <si>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</si>
  <si>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</si>
  <si>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</si>
  <si>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</si>
  <si>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</si>
  <si>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</si>
  <si>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</si>
  <si>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</si>
  <si>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</si>
  <si>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</si>
  <si>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</si>
  <si>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</si>
  <si>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</si>
  <si>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</si>
  <si>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</si>
  <si>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</si>
  <si>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</si>
  <si>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</si>
  <si>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</si>
  <si>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</si>
  <si>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</si>
  <si>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</si>
  <si>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</si>
  <si>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</si>
  <si>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</si>
  <si>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</si>
  <si>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</si>
  <si>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</si>
  <si>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</si>
  <si>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</si>
  <si>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</si>
  <si>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</si>
  <si>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</si>
  <si>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</si>
  <si>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</si>
  <si>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</si>
  <si>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</si>
  <si>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</si>
  <si>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</si>
  <si>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</si>
  <si>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Wakefield School District SAU 101</t>
  </si>
  <si>
    <t>Other Additions under Tusts are increases in investments.</t>
  </si>
  <si>
    <t>I cannot seem to make this 48 cent difference balance and given the issues that have surrounded this report, some of my</t>
  </si>
  <si>
    <t>own making admittedly, I decided it best to get this back 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</si>
</sst>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543</v>
      </c>
      <c r="C2" s="21">
        <v>543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573366.48</v>
      </c>
      <c r="G9" s="18">
        <v>9087.7900000000009</v>
      </c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342368.67999999993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51494.89</v>
      </c>
      <c r="G12" s="18">
        <v>4780.03</v>
      </c>
      <c r="H12" s="18">
        <f>22980.24</f>
        <v>22980.240000000002</v>
      </c>
      <c r="I12" s="18"/>
      <c r="J12" s="67">
        <f>SUM(I441)</f>
        <v>202500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/>
      <c r="G13" s="18">
        <v>7715.65</v>
      </c>
      <c r="H13" s="18"/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197.21</v>
      </c>
      <c r="G14" s="18">
        <v>0</v>
      </c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>
        <v>0</v>
      </c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625058.57999999996</v>
      </c>
      <c r="G19" s="41">
        <f>SUM(G9:G18)</f>
        <v>21583.47</v>
      </c>
      <c r="H19" s="41">
        <f>SUM(H9:H18)</f>
        <v>22980.240000000002</v>
      </c>
      <c r="I19" s="41">
        <f>SUM(I9:I18)</f>
        <v>0</v>
      </c>
      <c r="J19" s="41">
        <f>SUM(J9:J18)</f>
        <v>544868.67999999993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0</v>
      </c>
      <c r="G22" s="18">
        <v>0</v>
      </c>
      <c r="H22" s="18">
        <v>52767.43</v>
      </c>
      <c r="I22" s="18"/>
      <c r="J22" s="67">
        <f>SUM(I448)</f>
        <v>202500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>
        <v>1173.1300000000001</v>
      </c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39597.71</v>
      </c>
      <c r="G24" s="18">
        <v>35210.089999999997</v>
      </c>
      <c r="H24" s="18">
        <v>19893.509999999998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180573.76</v>
      </c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6877.5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>
        <v>0</v>
      </c>
      <c r="G31" s="18"/>
      <c r="H31" s="18">
        <v>0</v>
      </c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228222.1</v>
      </c>
      <c r="G32" s="41">
        <f>SUM(G22:G31)</f>
        <v>35210.089999999997</v>
      </c>
      <c r="H32" s="41">
        <f>SUM(H22:H31)</f>
        <v>72660.94</v>
      </c>
      <c r="I32" s="41">
        <f>SUM(I22:I31)</f>
        <v>0</v>
      </c>
      <c r="J32" s="41">
        <f>SUM(J22:J31)</f>
        <v>202500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>
        <v>0</v>
      </c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>
        <v>0</v>
      </c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28500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0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>
        <v>0</v>
      </c>
      <c r="G48" s="18">
        <v>-13626.62</v>
      </c>
      <c r="H48" s="18">
        <v>-49680.7</v>
      </c>
      <c r="I48" s="18"/>
      <c r="J48" s="13">
        <f>SUM(I459)</f>
        <v>342368.68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0</v>
      </c>
      <c r="G49" s="18">
        <v>0</v>
      </c>
      <c r="H49" s="18">
        <v>0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f>396836.48-28500</f>
        <v>368336.48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396836.48</v>
      </c>
      <c r="G51" s="41">
        <f>SUM(G35:G50)</f>
        <v>-13626.62</v>
      </c>
      <c r="H51" s="41">
        <f>SUM(H35:H50)</f>
        <v>-49680.7</v>
      </c>
      <c r="I51" s="41">
        <f>SUM(I35:I50)</f>
        <v>0</v>
      </c>
      <c r="J51" s="41">
        <f>SUM(J35:J50)</f>
        <v>342368.68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625058.57999999996</v>
      </c>
      <c r="G52" s="41">
        <f>G51+G32</f>
        <v>21583.469999999994</v>
      </c>
      <c r="H52" s="41">
        <f>H51+H32</f>
        <v>22980.240000000005</v>
      </c>
      <c r="I52" s="41">
        <f>I51+I32</f>
        <v>0</v>
      </c>
      <c r="J52" s="41">
        <f>J51+J32</f>
        <v>544868.67999999993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f>7389669.97-190000-12500-2054878+155593.86</f>
        <v>5287885.83</v>
      </c>
      <c r="G57" s="18"/>
      <c r="H57" s="18"/>
      <c r="I57" s="18"/>
      <c r="J57" s="18">
        <v>12500</v>
      </c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5287885.83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12500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2055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 t="s">
        <v>286</v>
      </c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>
        <v>0</v>
      </c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2055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/>
      <c r="G96" s="18"/>
      <c r="H96" s="18"/>
      <c r="I96" s="18"/>
      <c r="J96" s="18"/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43587.64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>
        <v>2420.52</v>
      </c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3791.78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6212.3</v>
      </c>
      <c r="G111" s="41">
        <f>SUM(G96:G110)</f>
        <v>43587.64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5296153.13</v>
      </c>
      <c r="G112" s="41">
        <f>G60+G111</f>
        <v>43587.64</v>
      </c>
      <c r="H112" s="41">
        <f>H60+H79+H94+H111</f>
        <v>0</v>
      </c>
      <c r="I112" s="41">
        <f>I60+I111</f>
        <v>0</v>
      </c>
      <c r="J112" s="41">
        <f>J60+J111</f>
        <v>12500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1222981.42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2054878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3277859.42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f>19352.84+2868.34</f>
        <v>22221.18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0</v>
      </c>
      <c r="G136" s="41">
        <f>SUM(G123:G135)</f>
        <v>22221.18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3277859.42</v>
      </c>
      <c r="G140" s="41">
        <f>G121+SUM(G136:G137)</f>
        <v>22221.18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>
        <f>6750</f>
        <v>6750</v>
      </c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f>96355.91+2282.8+6449.09-194.52</f>
        <v>104893.28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f>13402.75+2312.25</f>
        <v>15715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107797.22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f>12203.4+2557.62</f>
        <v>14761.02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85693.64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85693.64</v>
      </c>
      <c r="G162" s="41">
        <f>SUM(G150:G161)</f>
        <v>107797.22</v>
      </c>
      <c r="H162" s="41">
        <f>SUM(H150:H161)</f>
        <v>142119.29999999999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85693.64</v>
      </c>
      <c r="G169" s="41">
        <f>G147+G162+SUM(G163:G168)</f>
        <v>107797.22</v>
      </c>
      <c r="H169" s="41">
        <f>H147+H162+SUM(H163:H168)</f>
        <v>142119.29999999999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>
        <v>190000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190000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190000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8659706.1900000013</v>
      </c>
      <c r="G193" s="47">
        <f>G112+G140+G169+G192</f>
        <v>173606.04</v>
      </c>
      <c r="H193" s="47">
        <f>H112+H140+H169+H192</f>
        <v>142119.29999999999</v>
      </c>
      <c r="I193" s="47">
        <f>I112+I140+I169+I192</f>
        <v>0</v>
      </c>
      <c r="J193" s="47">
        <f>J112+J140+J192</f>
        <v>202500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f>1112101+469393</f>
        <v>1581494</v>
      </c>
      <c r="G197" s="18">
        <f>536544+226463</f>
        <v>763007</v>
      </c>
      <c r="H197" s="18"/>
      <c r="I197" s="18">
        <f>34797+14687</f>
        <v>49484</v>
      </c>
      <c r="J197" s="18">
        <f>755+319</f>
        <v>1074</v>
      </c>
      <c r="K197" s="18">
        <f>146+61</f>
        <v>207</v>
      </c>
      <c r="L197" s="19">
        <f>SUM(F197:K197)</f>
        <v>2395266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f>556979+235088</f>
        <v>792067</v>
      </c>
      <c r="G198" s="18">
        <f>288082+121593</f>
        <v>409675</v>
      </c>
      <c r="H198" s="18">
        <f>444884+187776</f>
        <v>632660</v>
      </c>
      <c r="I198" s="18">
        <f>2016+851</f>
        <v>2867</v>
      </c>
      <c r="J198" s="18">
        <f>288+122</f>
        <v>410</v>
      </c>
      <c r="K198" s="18"/>
      <c r="L198" s="19">
        <f>SUM(F198:K198)</f>
        <v>1837679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f>14935+6304</f>
        <v>21239</v>
      </c>
      <c r="G200" s="18">
        <f>3138+1325</f>
        <v>4463</v>
      </c>
      <c r="H200" s="18">
        <f>9378+3958</f>
        <v>13336</v>
      </c>
      <c r="I200" s="18">
        <f>6818+2878</f>
        <v>9696</v>
      </c>
      <c r="J200" s="18"/>
      <c r="K200" s="18"/>
      <c r="L200" s="19">
        <f>SUM(F200:K200)</f>
        <v>48734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f>112670+47555</f>
        <v>160225</v>
      </c>
      <c r="G202" s="18">
        <f>42735+18038</f>
        <v>60773</v>
      </c>
      <c r="H202" s="18">
        <f>2916+1231</f>
        <v>4147</v>
      </c>
      <c r="I202" s="18">
        <f>1427+602</f>
        <v>2029</v>
      </c>
      <c r="J202" s="18"/>
      <c r="K202" s="18">
        <v>15</v>
      </c>
      <c r="L202" s="19">
        <f t="shared" ref="L202:L208" si="0">SUM(F202:K202)</f>
        <v>227189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f>36895+15573</f>
        <v>52468</v>
      </c>
      <c r="G203" s="18">
        <f>34902+14731</f>
        <v>49633</v>
      </c>
      <c r="H203" s="18">
        <f>18297+7723</f>
        <v>26020</v>
      </c>
      <c r="I203" s="18">
        <f>9010+3804</f>
        <v>12814</v>
      </c>
      <c r="J203" s="18">
        <f>1674+707</f>
        <v>2381</v>
      </c>
      <c r="K203" s="18"/>
      <c r="L203" s="19">
        <f t="shared" si="0"/>
        <v>143316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f>6269+2646</f>
        <v>8915</v>
      </c>
      <c r="G204" s="18">
        <f>470+199</f>
        <v>669</v>
      </c>
      <c r="H204" s="18">
        <f>291193+122906</f>
        <v>414099</v>
      </c>
      <c r="I204" s="18"/>
      <c r="J204" s="18"/>
      <c r="K204" s="18">
        <f>3072+1296</f>
        <v>4368</v>
      </c>
      <c r="L204" s="19">
        <f t="shared" si="0"/>
        <v>428051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f>136115+57451</f>
        <v>193566</v>
      </c>
      <c r="G205" s="18">
        <f>68398+28869</f>
        <v>97267</v>
      </c>
      <c r="H205" s="18">
        <f>11115+4691</f>
        <v>15806</v>
      </c>
      <c r="I205" s="18">
        <f>157+66</f>
        <v>223</v>
      </c>
      <c r="J205" s="18"/>
      <c r="K205" s="18">
        <f>2086+881</f>
        <v>2967</v>
      </c>
      <c r="L205" s="19">
        <f t="shared" si="0"/>
        <v>309829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f>87229+36818</f>
        <v>124047</v>
      </c>
      <c r="G207" s="18">
        <f>14977+6321</f>
        <v>21298</v>
      </c>
      <c r="H207" s="18">
        <f>104840+44250</f>
        <v>149090</v>
      </c>
      <c r="I207" s="18">
        <f>68128+28755</f>
        <v>96883</v>
      </c>
      <c r="J207" s="18">
        <f>5593+2361</f>
        <v>7954</v>
      </c>
      <c r="K207" s="18">
        <f>1136+479</f>
        <v>1615</v>
      </c>
      <c r="L207" s="19">
        <f t="shared" si="0"/>
        <v>400887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f>88853+2783.24+0.02+37503</f>
        <v>129139.26000000001</v>
      </c>
      <c r="G208" s="18">
        <f>32625+13770</f>
        <v>46395</v>
      </c>
      <c r="H208" s="18">
        <f>74506+31447</f>
        <v>105953</v>
      </c>
      <c r="I208" s="18">
        <f>19202+8105</f>
        <v>27307</v>
      </c>
      <c r="J208" s="18"/>
      <c r="K208" s="18">
        <f>8066+11471</f>
        <v>19537</v>
      </c>
      <c r="L208" s="19">
        <f t="shared" si="0"/>
        <v>328331.26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>
        <f>23617+3968</f>
        <v>27585</v>
      </c>
      <c r="I209" s="18"/>
      <c r="J209" s="18">
        <f>17869+7542</f>
        <v>25411</v>
      </c>
      <c r="K209" s="18"/>
      <c r="L209" s="19">
        <f>SUM(F209:K209)</f>
        <v>52996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3063160.26</v>
      </c>
      <c r="G211" s="41">
        <f t="shared" si="1"/>
        <v>1453180</v>
      </c>
      <c r="H211" s="41">
        <f t="shared" si="1"/>
        <v>1388696</v>
      </c>
      <c r="I211" s="41">
        <f t="shared" si="1"/>
        <v>201303</v>
      </c>
      <c r="J211" s="41">
        <f t="shared" si="1"/>
        <v>37230</v>
      </c>
      <c r="K211" s="41">
        <f t="shared" si="1"/>
        <v>28709</v>
      </c>
      <c r="L211" s="41">
        <f t="shared" si="1"/>
        <v>6172278.2599999998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v>0</v>
      </c>
      <c r="G215" s="18">
        <v>0</v>
      </c>
      <c r="H215" s="18"/>
      <c r="I215" s="18">
        <v>0</v>
      </c>
      <c r="J215" s="18">
        <v>0</v>
      </c>
      <c r="K215" s="18">
        <v>0</v>
      </c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 t="s">
        <v>286</v>
      </c>
      <c r="G217" s="18" t="s">
        <v>286</v>
      </c>
      <c r="H217" s="18" t="s">
        <v>286</v>
      </c>
      <c r="I217" s="18" t="s">
        <v>286</v>
      </c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0</v>
      </c>
      <c r="G218" s="18">
        <v>0</v>
      </c>
      <c r="H218" s="18">
        <v>0</v>
      </c>
      <c r="I218" s="18">
        <v>0</v>
      </c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v>0</v>
      </c>
      <c r="G220" s="18">
        <v>0</v>
      </c>
      <c r="H220" s="18">
        <v>0</v>
      </c>
      <c r="I220" s="18">
        <v>0</v>
      </c>
      <c r="J220" s="18"/>
      <c r="K220" s="18">
        <v>0</v>
      </c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0</v>
      </c>
      <c r="G222" s="18">
        <v>0</v>
      </c>
      <c r="H222" s="18">
        <v>0</v>
      </c>
      <c r="I222" s="18"/>
      <c r="J222" s="18"/>
      <c r="K222" s="18">
        <v>0</v>
      </c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v>0</v>
      </c>
      <c r="G223" s="18">
        <v>0</v>
      </c>
      <c r="H223" s="18">
        <v>0</v>
      </c>
      <c r="I223" s="18">
        <v>0</v>
      </c>
      <c r="J223" s="18"/>
      <c r="K223" s="18">
        <v>0</v>
      </c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>
        <v>0</v>
      </c>
      <c r="G226" s="18">
        <v>0</v>
      </c>
      <c r="H226" s="18">
        <v>0</v>
      </c>
      <c r="I226" s="18">
        <v>0</v>
      </c>
      <c r="J226" s="18"/>
      <c r="K226" s="18">
        <v>0</v>
      </c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>
        <v>0</v>
      </c>
      <c r="I227" s="18"/>
      <c r="J227" s="18">
        <v>0</v>
      </c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2201299</v>
      </c>
      <c r="I233" s="18"/>
      <c r="J233" s="18"/>
      <c r="K233" s="18"/>
      <c r="L233" s="19">
        <f>SUM(F233:K233)</f>
        <v>2201299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3542</v>
      </c>
      <c r="G240" s="18">
        <v>266</v>
      </c>
      <c r="H240" s="18">
        <v>164505</v>
      </c>
      <c r="I240" s="18">
        <v>10848</v>
      </c>
      <c r="J240" s="18"/>
      <c r="K240" s="18">
        <v>1735</v>
      </c>
      <c r="L240" s="19">
        <f t="shared" si="4"/>
        <v>180896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v>50525</v>
      </c>
      <c r="G244" s="18">
        <v>18431</v>
      </c>
      <c r="H244" s="18">
        <v>42091</v>
      </c>
      <c r="I244" s="18"/>
      <c r="J244" s="18"/>
      <c r="K244" s="18"/>
      <c r="L244" s="19">
        <f t="shared" si="4"/>
        <v>111047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54067</v>
      </c>
      <c r="G247" s="41">
        <f t="shared" si="5"/>
        <v>18697</v>
      </c>
      <c r="H247" s="41">
        <f t="shared" si="5"/>
        <v>2407895</v>
      </c>
      <c r="I247" s="41">
        <f t="shared" si="5"/>
        <v>10848</v>
      </c>
      <c r="J247" s="41">
        <f t="shared" si="5"/>
        <v>0</v>
      </c>
      <c r="K247" s="41">
        <f t="shared" si="5"/>
        <v>1735</v>
      </c>
      <c r="L247" s="41">
        <f t="shared" si="5"/>
        <v>2493242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3117227.26</v>
      </c>
      <c r="G257" s="41">
        <f t="shared" si="8"/>
        <v>1471877</v>
      </c>
      <c r="H257" s="41">
        <f t="shared" si="8"/>
        <v>3796591</v>
      </c>
      <c r="I257" s="41">
        <f t="shared" si="8"/>
        <v>212151</v>
      </c>
      <c r="J257" s="41">
        <f t="shared" si="8"/>
        <v>37230</v>
      </c>
      <c r="K257" s="41">
        <f t="shared" si="8"/>
        <v>30444</v>
      </c>
      <c r="L257" s="41">
        <f t="shared" si="8"/>
        <v>8665520.2599999998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0</v>
      </c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190000</v>
      </c>
      <c r="L266" s="19">
        <f t="shared" si="9"/>
        <v>190000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190000</v>
      </c>
      <c r="L270" s="41">
        <f t="shared" si="9"/>
        <v>190000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3117227.26</v>
      </c>
      <c r="G271" s="42">
        <f t="shared" si="11"/>
        <v>1471877</v>
      </c>
      <c r="H271" s="42">
        <f t="shared" si="11"/>
        <v>3796591</v>
      </c>
      <c r="I271" s="42">
        <f t="shared" si="11"/>
        <v>212151</v>
      </c>
      <c r="J271" s="42">
        <f t="shared" si="11"/>
        <v>37230</v>
      </c>
      <c r="K271" s="42">
        <f t="shared" si="11"/>
        <v>220444</v>
      </c>
      <c r="L271" s="42">
        <f t="shared" si="11"/>
        <v>8855520.2599999998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f>46511+19631</f>
        <v>66142</v>
      </c>
      <c r="G276" s="18">
        <f>27643+11668</f>
        <v>39311</v>
      </c>
      <c r="H276" s="18"/>
      <c r="I276" s="18">
        <f>13201+5572</f>
        <v>18773</v>
      </c>
      <c r="J276" s="18"/>
      <c r="K276" s="18"/>
      <c r="L276" s="19">
        <f>SUM(F276:K276)</f>
        <v>124226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>
        <f>24950+10531</f>
        <v>35481</v>
      </c>
      <c r="I277" s="18"/>
      <c r="J277" s="18"/>
      <c r="K277" s="18"/>
      <c r="L277" s="19">
        <f>SUM(F277:K277)</f>
        <v>35481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>
        <f>337+142</f>
        <v>479</v>
      </c>
      <c r="I278" s="18"/>
      <c r="J278" s="18"/>
      <c r="K278" s="18"/>
      <c r="L278" s="19">
        <f>SUM(F278:K278)</f>
        <v>479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f>1318+557</f>
        <v>1875</v>
      </c>
      <c r="G282" s="18">
        <f>307+130</f>
        <v>437</v>
      </c>
      <c r="H282" s="18">
        <f>15348+6478</f>
        <v>21826</v>
      </c>
      <c r="I282" s="18"/>
      <c r="J282" s="18"/>
      <c r="K282" s="18"/>
      <c r="L282" s="19">
        <f t="shared" si="12"/>
        <v>24138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>
        <f>5257+2219</f>
        <v>7476</v>
      </c>
      <c r="L285" s="19">
        <f t="shared" si="12"/>
        <v>7476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68017</v>
      </c>
      <c r="G290" s="42">
        <f t="shared" si="13"/>
        <v>39748</v>
      </c>
      <c r="H290" s="42">
        <f t="shared" si="13"/>
        <v>57786</v>
      </c>
      <c r="I290" s="42">
        <f t="shared" si="13"/>
        <v>18773</v>
      </c>
      <c r="J290" s="42">
        <f t="shared" si="13"/>
        <v>0</v>
      </c>
      <c r="K290" s="42">
        <f t="shared" si="13"/>
        <v>7476</v>
      </c>
      <c r="L290" s="41">
        <f t="shared" si="13"/>
        <v>191800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>
        <v>0</v>
      </c>
      <c r="G295" s="18">
        <v>0</v>
      </c>
      <c r="H295" s="18"/>
      <c r="I295" s="18">
        <v>0</v>
      </c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>
        <v>0</v>
      </c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>
        <v>0</v>
      </c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>
        <v>0</v>
      </c>
      <c r="G301" s="18">
        <v>0</v>
      </c>
      <c r="H301" s="18">
        <v>0</v>
      </c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>
        <v>0</v>
      </c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68017</v>
      </c>
      <c r="G338" s="41">
        <f t="shared" si="20"/>
        <v>39748</v>
      </c>
      <c r="H338" s="41">
        <f t="shared" si="20"/>
        <v>57786</v>
      </c>
      <c r="I338" s="41">
        <f t="shared" si="20"/>
        <v>18773</v>
      </c>
      <c r="J338" s="41">
        <f t="shared" si="20"/>
        <v>0</v>
      </c>
      <c r="K338" s="41">
        <f t="shared" si="20"/>
        <v>7476</v>
      </c>
      <c r="L338" s="41">
        <f t="shared" si="20"/>
        <v>191800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68017</v>
      </c>
      <c r="G352" s="41">
        <f>G338</f>
        <v>39748</v>
      </c>
      <c r="H352" s="41">
        <f>H338</f>
        <v>57786</v>
      </c>
      <c r="I352" s="41">
        <f>I338</f>
        <v>18773</v>
      </c>
      <c r="J352" s="41">
        <f>J338</f>
        <v>0</v>
      </c>
      <c r="K352" s="47">
        <f>K338+K351</f>
        <v>7476</v>
      </c>
      <c r="L352" s="41">
        <f>L338+L351</f>
        <v>191800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>
        <f>116111+49008+32922.66</f>
        <v>198041.66</v>
      </c>
      <c r="I358" s="18"/>
      <c r="J358" s="18">
        <f>2281+363</f>
        <v>2644</v>
      </c>
      <c r="K358" s="18"/>
      <c r="L358" s="13">
        <f>SUM(F358:K358)</f>
        <v>200685.66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>
        <v>0</v>
      </c>
      <c r="I359" s="18"/>
      <c r="J359" s="18">
        <v>0</v>
      </c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198041.66</v>
      </c>
      <c r="I362" s="47">
        <f t="shared" si="22"/>
        <v>0</v>
      </c>
      <c r="J362" s="47">
        <f t="shared" si="22"/>
        <v>2644</v>
      </c>
      <c r="K362" s="47">
        <f t="shared" si="22"/>
        <v>0</v>
      </c>
      <c r="L362" s="47">
        <f t="shared" si="22"/>
        <v>200685.66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/>
      <c r="H368" s="63"/>
      <c r="I368" s="56">
        <f>SUM(F368:H368)</f>
        <v>0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>
        <v>0</v>
      </c>
      <c r="G389" s="18">
        <v>190000</v>
      </c>
      <c r="H389" s="18"/>
      <c r="I389" s="18"/>
      <c r="J389" s="24" t="s">
        <v>288</v>
      </c>
      <c r="K389" s="24" t="s">
        <v>288</v>
      </c>
      <c r="L389" s="56">
        <f t="shared" si="25"/>
        <v>190000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>
        <v>12500</v>
      </c>
      <c r="G392" s="18">
        <v>0</v>
      </c>
      <c r="H392" s="18"/>
      <c r="I392" s="18"/>
      <c r="J392" s="24" t="s">
        <v>288</v>
      </c>
      <c r="K392" s="24" t="s">
        <v>288</v>
      </c>
      <c r="L392" s="56">
        <f t="shared" si="25"/>
        <v>12500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12500</v>
      </c>
      <c r="G393" s="139">
        <f>SUM(G387:G392)</f>
        <v>190000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202500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>
        <v>0</v>
      </c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12500</v>
      </c>
      <c r="G408" s="47">
        <f>G393+G401+G407</f>
        <v>190000</v>
      </c>
      <c r="H408" s="47">
        <f>H393+H401+H407</f>
        <v>0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202500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>
        <v>0</v>
      </c>
      <c r="I422" s="18"/>
      <c r="J422" s="18"/>
      <c r="K422" s="18">
        <v>190000</v>
      </c>
      <c r="L422" s="56">
        <f t="shared" si="29"/>
        <v>190000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>
        <v>12500</v>
      </c>
      <c r="L426" s="56">
        <f t="shared" si="29"/>
        <v>12500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202500</v>
      </c>
      <c r="L427" s="47">
        <f t="shared" si="30"/>
        <v>202500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202500</v>
      </c>
      <c r="L434" s="47">
        <f t="shared" si="32"/>
        <v>202500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 t="s">
        <v>286</v>
      </c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>
        <f>(47897.07+1818.2+105230.97+2419.5+3559.34+37627.78+8053.29+79358.19+56404.34)</f>
        <v>342368.67999999993</v>
      </c>
      <c r="H440" s="18"/>
      <c r="I440" s="56">
        <f t="shared" si="33"/>
        <v>342368.67999999993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>
        <f>(180000+10000+12500)</f>
        <v>202500</v>
      </c>
      <c r="H441" s="18"/>
      <c r="I441" s="56">
        <f t="shared" si="33"/>
        <v>202500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544868.67999999993</v>
      </c>
      <c r="H446" s="13">
        <f>SUM(H439:H445)</f>
        <v>0</v>
      </c>
      <c r="I446" s="13">
        <f>SUM(I439:I445)</f>
        <v>544868.67999999993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>
        <v>202500</v>
      </c>
      <c r="H448" s="18"/>
      <c r="I448" s="56">
        <f>SUM(F448:H448)</f>
        <v>202500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202500</v>
      </c>
      <c r="H452" s="72">
        <f>SUM(H448:H451)</f>
        <v>0</v>
      </c>
      <c r="I452" s="72">
        <f>SUM(I448:I451)</f>
        <v>202500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342368.68</v>
      </c>
      <c r="H459" s="18"/>
      <c r="I459" s="56">
        <f t="shared" si="34"/>
        <v>342368.68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342368.68</v>
      </c>
      <c r="H460" s="83">
        <f>SUM(H454:H459)</f>
        <v>0</v>
      </c>
      <c r="I460" s="83">
        <f>SUM(I454:I459)</f>
        <v>342368.68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544868.67999999993</v>
      </c>
      <c r="H461" s="42">
        <f>H452+H460</f>
        <v>0</v>
      </c>
      <c r="I461" s="42">
        <f>I452+I460</f>
        <v>544868.67999999993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f>592650.55</f>
        <v>592650.55000000005</v>
      </c>
      <c r="G465" s="18">
        <v>13453</v>
      </c>
      <c r="H465" s="18">
        <v>0</v>
      </c>
      <c r="I465" s="18"/>
      <c r="J465" s="18">
        <f>(45752.87+1895.57+103147.87+2126.5+3262.7+36681.14+79577.11+57513.45)</f>
        <v>329957.21000000002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f>F193</f>
        <v>8659706.1900000013</v>
      </c>
      <c r="G468" s="18">
        <f t="shared" ref="G468:H468" si="35">G193</f>
        <v>173606.04</v>
      </c>
      <c r="H468" s="18">
        <f t="shared" si="35"/>
        <v>142119.29999999999</v>
      </c>
      <c r="I468" s="18"/>
      <c r="J468" s="18">
        <v>202500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>
        <v>12411.47</v>
      </c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8659706.1900000013</v>
      </c>
      <c r="G470" s="53">
        <f>SUM(G468:G469)</f>
        <v>173606.04</v>
      </c>
      <c r="H470" s="53">
        <f>SUM(H468:H469)</f>
        <v>142119.29999999999</v>
      </c>
      <c r="I470" s="53">
        <f>SUM(I468:I469)</f>
        <v>0</v>
      </c>
      <c r="J470" s="53">
        <f>SUM(J468:J469)</f>
        <v>214911.47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L271</f>
        <v>8855520.2599999998</v>
      </c>
      <c r="G472" s="18">
        <f>L362</f>
        <v>200685.66</v>
      </c>
      <c r="H472" s="18">
        <f>L352</f>
        <v>191800</v>
      </c>
      <c r="I472" s="18"/>
      <c r="J472" s="18">
        <v>202500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8855520.2599999998</v>
      </c>
      <c r="G474" s="53">
        <f>SUM(G472:G473)</f>
        <v>200685.66</v>
      </c>
      <c r="H474" s="53">
        <f>SUM(H472:H473)</f>
        <v>191800</v>
      </c>
      <c r="I474" s="53">
        <f>SUM(I472:I473)</f>
        <v>0</v>
      </c>
      <c r="J474" s="53">
        <f>SUM(J472:J473)</f>
        <v>202500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396836.48000000231</v>
      </c>
      <c r="G476" s="53">
        <f>(G465+G470)- G474</f>
        <v>-13626.619999999995</v>
      </c>
      <c r="H476" s="53">
        <f>(H465+H470)- H474</f>
        <v>-49680.700000000012</v>
      </c>
      <c r="I476" s="53">
        <f>(I465+I470)- I474</f>
        <v>0</v>
      </c>
      <c r="J476" s="53">
        <f>(J465+J470)- J474</f>
        <v>342368.68000000005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6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6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6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6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6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6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6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6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>
        <v>18000</v>
      </c>
      <c r="G507" s="144">
        <v>18000</v>
      </c>
      <c r="H507" s="144">
        <v>18000</v>
      </c>
      <c r="I507" s="144">
        <v>18000</v>
      </c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>
        <v>166377</v>
      </c>
      <c r="G514" s="24" t="s">
        <v>288</v>
      </c>
      <c r="H514" s="18">
        <v>61774</v>
      </c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166377</v>
      </c>
      <c r="G517" s="42">
        <f>SUM(G511:G516)</f>
        <v>0</v>
      </c>
      <c r="H517" s="42">
        <f>SUM(H511:H516)</f>
        <v>61774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512014+216110</f>
        <v>728124</v>
      </c>
      <c r="G521" s="18">
        <f>279045+117779</f>
        <v>396824</v>
      </c>
      <c r="H521" s="18">
        <f>388121+130267</f>
        <v>518388</v>
      </c>
      <c r="I521" s="18">
        <f>2016+851</f>
        <v>2867</v>
      </c>
      <c r="J521" s="18">
        <f>288+122</f>
        <v>410</v>
      </c>
      <c r="K521" s="18"/>
      <c r="L521" s="88">
        <f>SUM(F521:K521)</f>
        <v>1646613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v>0</v>
      </c>
      <c r="G522" s="18">
        <v>0</v>
      </c>
      <c r="H522" s="18">
        <v>0</v>
      </c>
      <c r="I522" s="18">
        <v>0</v>
      </c>
      <c r="J522" s="18">
        <v>0</v>
      </c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>
        <v>114272</v>
      </c>
      <c r="I523" s="18"/>
      <c r="J523" s="18"/>
      <c r="K523" s="18"/>
      <c r="L523" s="88">
        <f>SUM(F523:K523)</f>
        <v>114272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728124</v>
      </c>
      <c r="G524" s="108">
        <f t="shared" ref="G524:L524" si="37">SUM(G521:G523)</f>
        <v>396824</v>
      </c>
      <c r="H524" s="108">
        <f t="shared" si="37"/>
        <v>632660</v>
      </c>
      <c r="I524" s="108">
        <f t="shared" si="37"/>
        <v>2867</v>
      </c>
      <c r="J524" s="108">
        <f t="shared" si="37"/>
        <v>410</v>
      </c>
      <c r="K524" s="108">
        <f t="shared" si="37"/>
        <v>0</v>
      </c>
      <c r="L524" s="89">
        <f t="shared" si="37"/>
        <v>1760885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>
        <f>1301+522</f>
        <v>1823</v>
      </c>
      <c r="H526" s="18"/>
      <c r="I526" s="18"/>
      <c r="J526" s="18"/>
      <c r="K526" s="18"/>
      <c r="L526" s="88">
        <f>SUM(F526:K526)</f>
        <v>1823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>
        <v>0</v>
      </c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8">SUM(G526:G528)</f>
        <v>1823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1823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9">SUM(G531:G533)</f>
        <v>0</v>
      </c>
      <c r="H534" s="89">
        <f t="shared" si="39"/>
        <v>0</v>
      </c>
      <c r="I534" s="89">
        <f t="shared" si="39"/>
        <v>0</v>
      </c>
      <c r="J534" s="89">
        <f t="shared" si="39"/>
        <v>0</v>
      </c>
      <c r="K534" s="89">
        <f t="shared" si="39"/>
        <v>0</v>
      </c>
      <c r="L534" s="89">
        <f t="shared" si="39"/>
        <v>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0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>
        <f>31848+13442</f>
        <v>45290</v>
      </c>
      <c r="G541" s="18">
        <f>2786+1176</f>
        <v>3962</v>
      </c>
      <c r="H541" s="18">
        <f>6046+2552</f>
        <v>8598</v>
      </c>
      <c r="I541" s="18"/>
      <c r="J541" s="18"/>
      <c r="K541" s="18"/>
      <c r="L541" s="88">
        <f>SUM(F541:K541)</f>
        <v>57850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>
        <v>0</v>
      </c>
      <c r="G542" s="18">
        <v>0</v>
      </c>
      <c r="H542" s="18">
        <v>0</v>
      </c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>
        <v>17992</v>
      </c>
      <c r="G543" s="18">
        <v>1574</v>
      </c>
      <c r="H543" s="18">
        <v>6994</v>
      </c>
      <c r="I543" s="18"/>
      <c r="J543" s="18"/>
      <c r="K543" s="18"/>
      <c r="L543" s="88">
        <f>SUM(F543:K543)</f>
        <v>26560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63282</v>
      </c>
      <c r="G544" s="193">
        <f t="shared" ref="G544:L544" si="41">SUM(G541:G543)</f>
        <v>5536</v>
      </c>
      <c r="H544" s="193">
        <f t="shared" si="41"/>
        <v>15592</v>
      </c>
      <c r="I544" s="193">
        <f t="shared" si="41"/>
        <v>0</v>
      </c>
      <c r="J544" s="193">
        <f t="shared" si="41"/>
        <v>0</v>
      </c>
      <c r="K544" s="193">
        <f t="shared" si="41"/>
        <v>0</v>
      </c>
      <c r="L544" s="193">
        <f t="shared" si="41"/>
        <v>84410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791406</v>
      </c>
      <c r="G545" s="89">
        <f t="shared" ref="G545:L545" si="42">G524+G529+G534+G539+G544</f>
        <v>404183</v>
      </c>
      <c r="H545" s="89">
        <f t="shared" si="42"/>
        <v>648252</v>
      </c>
      <c r="I545" s="89">
        <f t="shared" si="42"/>
        <v>2867</v>
      </c>
      <c r="J545" s="89">
        <f t="shared" si="42"/>
        <v>410</v>
      </c>
      <c r="K545" s="89">
        <f t="shared" si="42"/>
        <v>0</v>
      </c>
      <c r="L545" s="89">
        <f t="shared" si="42"/>
        <v>1847118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1646613</v>
      </c>
      <c r="G549" s="87">
        <f>L526</f>
        <v>1823</v>
      </c>
      <c r="H549" s="87">
        <f>L531</f>
        <v>0</v>
      </c>
      <c r="I549" s="87">
        <f>L536</f>
        <v>0</v>
      </c>
      <c r="J549" s="87">
        <f>L541</f>
        <v>57850</v>
      </c>
      <c r="K549" s="87">
        <f>SUM(F549:J549)</f>
        <v>1706286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114272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26560</v>
      </c>
      <c r="K551" s="87">
        <f>SUM(F551:J551)</f>
        <v>140832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3">SUM(F549:F551)</f>
        <v>1760885</v>
      </c>
      <c r="G552" s="89">
        <f t="shared" si="43"/>
        <v>1823</v>
      </c>
      <c r="H552" s="89">
        <f t="shared" si="43"/>
        <v>0</v>
      </c>
      <c r="I552" s="89">
        <f t="shared" si="43"/>
        <v>0</v>
      </c>
      <c r="J552" s="89">
        <f t="shared" si="43"/>
        <v>84410</v>
      </c>
      <c r="K552" s="89">
        <f t="shared" si="43"/>
        <v>1847118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4">SUM(F557:F559)</f>
        <v>0</v>
      </c>
      <c r="G560" s="108">
        <f t="shared" si="44"/>
        <v>0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5">SUM(F562:F564)</f>
        <v>0</v>
      </c>
      <c r="G565" s="89">
        <f t="shared" si="45"/>
        <v>0</v>
      </c>
      <c r="H565" s="89">
        <f t="shared" si="45"/>
        <v>0</v>
      </c>
      <c r="I565" s="89">
        <f t="shared" si="45"/>
        <v>0</v>
      </c>
      <c r="J565" s="89">
        <f t="shared" si="45"/>
        <v>0</v>
      </c>
      <c r="K565" s="89">
        <f t="shared" si="45"/>
        <v>0</v>
      </c>
      <c r="L565" s="89">
        <f t="shared" si="45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6">SUM(G567:G569)</f>
        <v>0</v>
      </c>
      <c r="H570" s="193">
        <f t="shared" si="46"/>
        <v>0</v>
      </c>
      <c r="I570" s="193">
        <f t="shared" si="46"/>
        <v>0</v>
      </c>
      <c r="J570" s="193">
        <f t="shared" si="46"/>
        <v>0</v>
      </c>
      <c r="K570" s="193">
        <f t="shared" si="46"/>
        <v>0</v>
      </c>
      <c r="L570" s="193">
        <f t="shared" si="46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7">G560+G565+G570</f>
        <v>0</v>
      </c>
      <c r="H571" s="89">
        <f t="shared" si="47"/>
        <v>0</v>
      </c>
      <c r="I571" s="89">
        <f t="shared" si="47"/>
        <v>0</v>
      </c>
      <c r="J571" s="89">
        <f t="shared" si="47"/>
        <v>0</v>
      </c>
      <c r="K571" s="89">
        <f t="shared" si="47"/>
        <v>0</v>
      </c>
      <c r="L571" s="89">
        <f t="shared" si="47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>
        <f>2201299.34</f>
        <v>2201299.34</v>
      </c>
      <c r="I575" s="87">
        <f>SUM(F575:H575)</f>
        <v>2201299.34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8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8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8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>
        <v>61774.42</v>
      </c>
      <c r="I579" s="87">
        <f t="shared" si="48"/>
        <v>61774.42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8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8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62232.31</v>
      </c>
      <c r="G582" s="18"/>
      <c r="H582" s="18">
        <v>52497.2</v>
      </c>
      <c r="I582" s="87">
        <f t="shared" si="48"/>
        <v>114729.51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8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8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8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8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8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f>(L208-H592-H594-H595)</f>
        <v>267555.26</v>
      </c>
      <c r="I591" s="18">
        <v>0</v>
      </c>
      <c r="J591" s="18">
        <f>(L244-J592-J593)</f>
        <v>84157.74</v>
      </c>
      <c r="K591" s="104">
        <f t="shared" ref="K591:K597" si="49">SUM(H591:J591)</f>
        <v>351713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f>40680+17170</f>
        <v>57850</v>
      </c>
      <c r="I592" s="18">
        <v>0</v>
      </c>
      <c r="J592" s="18">
        <v>26560</v>
      </c>
      <c r="K592" s="104">
        <f t="shared" si="49"/>
        <v>84410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329.26</v>
      </c>
      <c r="K593" s="104">
        <f t="shared" si="49"/>
        <v>329.26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f>233+98</f>
        <v>331</v>
      </c>
      <c r="I594" s="18">
        <v>0</v>
      </c>
      <c r="J594" s="18"/>
      <c r="K594" s="104">
        <f t="shared" si="49"/>
        <v>331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f>1825+770</f>
        <v>2595</v>
      </c>
      <c r="I595" s="18">
        <v>0</v>
      </c>
      <c r="J595" s="18"/>
      <c r="K595" s="104">
        <f t="shared" si="49"/>
        <v>2595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9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328331.26</v>
      </c>
      <c r="I598" s="108">
        <f>SUM(I591:I597)</f>
        <v>0</v>
      </c>
      <c r="J598" s="108">
        <f>SUM(J591:J597)</f>
        <v>111047</v>
      </c>
      <c r="K598" s="108">
        <f>SUM(K591:K597)</f>
        <v>439378.26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f>J211</f>
        <v>37230</v>
      </c>
      <c r="I604" s="18">
        <f>J229</f>
        <v>0</v>
      </c>
      <c r="J604" s="18"/>
      <c r="K604" s="104">
        <f>SUM(H604:J604)</f>
        <v>37230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37230</v>
      </c>
      <c r="I605" s="108">
        <f>SUM(I602:I604)</f>
        <v>0</v>
      </c>
      <c r="J605" s="108">
        <f>SUM(J602:J604)</f>
        <v>0</v>
      </c>
      <c r="K605" s="108">
        <f>SUM(K602:K604)</f>
        <v>37230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50">SUM(F611:F613)</f>
        <v>0</v>
      </c>
      <c r="G614" s="108">
        <f t="shared" si="50"/>
        <v>0</v>
      </c>
      <c r="H614" s="108">
        <f t="shared" si="50"/>
        <v>0</v>
      </c>
      <c r="I614" s="108">
        <f t="shared" si="50"/>
        <v>0</v>
      </c>
      <c r="J614" s="108">
        <f t="shared" si="50"/>
        <v>0</v>
      </c>
      <c r="K614" s="108">
        <f t="shared" si="50"/>
        <v>0</v>
      </c>
      <c r="L614" s="89">
        <f t="shared" si="50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625058.57999999996</v>
      </c>
      <c r="H617" s="109">
        <f>SUM(F52)</f>
        <v>625058.57999999996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21583.47</v>
      </c>
      <c r="H618" s="109">
        <f>SUM(G52)</f>
        <v>21583.469999999994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22980.240000000002</v>
      </c>
      <c r="H619" s="109">
        <f>SUM(H52)</f>
        <v>22980.240000000005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544868.67999999993</v>
      </c>
      <c r="H621" s="109">
        <f>SUM(J52)</f>
        <v>544868.67999999993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396836.48</v>
      </c>
      <c r="H622" s="109">
        <f>F476</f>
        <v>396836.48000000231</v>
      </c>
      <c r="I622" s="121" t="s">
        <v>101</v>
      </c>
      <c r="J622" s="109">
        <f t="shared" ref="J622:J655" si="51">G622-H622</f>
        <v>-2.3283064365386963E-9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-13626.62</v>
      </c>
      <c r="H623" s="109">
        <f>G476</f>
        <v>-13626.619999999995</v>
      </c>
      <c r="I623" s="121" t="s">
        <v>102</v>
      </c>
      <c r="J623" s="109">
        <f t="shared" si="51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-49680.7</v>
      </c>
      <c r="H624" s="109">
        <f>H476</f>
        <v>-49680.700000000012</v>
      </c>
      <c r="I624" s="121" t="s">
        <v>103</v>
      </c>
      <c r="J624" s="109">
        <f t="shared" si="51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1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342368.68</v>
      </c>
      <c r="H626" s="109">
        <f>J476</f>
        <v>342368.68000000005</v>
      </c>
      <c r="I626" s="140" t="s">
        <v>105</v>
      </c>
      <c r="J626" s="109">
        <f t="shared" si="51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8659706.1900000013</v>
      </c>
      <c r="H627" s="104">
        <f>SUM(F468)</f>
        <v>8659706.1900000013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173606.04</v>
      </c>
      <c r="H628" s="104">
        <f>SUM(G468)</f>
        <v>173606.04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142119.29999999999</v>
      </c>
      <c r="H629" s="104">
        <f>SUM(H468)</f>
        <v>142119.29999999999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202500</v>
      </c>
      <c r="H631" s="104">
        <f>SUM(J468)</f>
        <v>202500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8855520.2599999998</v>
      </c>
      <c r="H632" s="104">
        <f>SUM(F472)</f>
        <v>8855520.2599999998</v>
      </c>
      <c r="I632" s="140" t="s">
        <v>111</v>
      </c>
      <c r="J632" s="109">
        <f t="shared" si="51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191800</v>
      </c>
      <c r="H633" s="104">
        <f>SUM(H472)</f>
        <v>191800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200685.66</v>
      </c>
      <c r="H635" s="104">
        <f>SUM(G472)</f>
        <v>200685.66</v>
      </c>
      <c r="I635" s="140" t="s">
        <v>114</v>
      </c>
      <c r="J635" s="109">
        <f t="shared" si="51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1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202500</v>
      </c>
      <c r="H637" s="164">
        <f>SUM(J468)</f>
        <v>202500</v>
      </c>
      <c r="I637" s="165" t="s">
        <v>110</v>
      </c>
      <c r="J637" s="151">
        <f t="shared" si="51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202500</v>
      </c>
      <c r="H638" s="164">
        <f>SUM(J472)</f>
        <v>202500</v>
      </c>
      <c r="I638" s="165" t="s">
        <v>117</v>
      </c>
      <c r="J638" s="151">
        <f t="shared" si="51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544868.67999999993</v>
      </c>
      <c r="H640" s="104">
        <f>SUM(G461)</f>
        <v>544868.67999999993</v>
      </c>
      <c r="I640" s="140" t="s">
        <v>857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544868.67999999993</v>
      </c>
      <c r="H642" s="104">
        <f>SUM(I461)</f>
        <v>544868.67999999993</v>
      </c>
      <c r="I642" s="140" t="s">
        <v>859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12500</v>
      </c>
      <c r="H643" s="104">
        <f>F408</f>
        <v>12500</v>
      </c>
      <c r="I643" s="140" t="s">
        <v>479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0</v>
      </c>
      <c r="H644" s="104">
        <f>H408</f>
        <v>0</v>
      </c>
      <c r="I644" s="140" t="s">
        <v>480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190000</v>
      </c>
      <c r="H645" s="104">
        <f>G408</f>
        <v>190000</v>
      </c>
      <c r="I645" s="140" t="s">
        <v>481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202500</v>
      </c>
      <c r="H646" s="104">
        <f>L408</f>
        <v>202500</v>
      </c>
      <c r="I646" s="140" t="s">
        <v>477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439378.26</v>
      </c>
      <c r="H647" s="104">
        <f>L208+L226+L244</f>
        <v>439378.26</v>
      </c>
      <c r="I647" s="140" t="s">
        <v>396</v>
      </c>
      <c r="J647" s="109">
        <f t="shared" si="51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37230</v>
      </c>
      <c r="H648" s="104">
        <f>(J257+J338)-(J255+J336)</f>
        <v>37230</v>
      </c>
      <c r="I648" s="140" t="s">
        <v>702</v>
      </c>
      <c r="J648" s="109">
        <f t="shared" si="51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328331.26</v>
      </c>
      <c r="H649" s="104">
        <f>H598</f>
        <v>328331.26</v>
      </c>
      <c r="I649" s="140" t="s">
        <v>388</v>
      </c>
      <c r="J649" s="109">
        <f t="shared" si="51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1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111047</v>
      </c>
      <c r="H651" s="104">
        <f>J598</f>
        <v>111047</v>
      </c>
      <c r="I651" s="140" t="s">
        <v>390</v>
      </c>
      <c r="J651" s="109">
        <f t="shared" si="51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190000</v>
      </c>
      <c r="H655" s="104">
        <f>K266+K347</f>
        <v>190000</v>
      </c>
      <c r="I655" s="140" t="s">
        <v>400</v>
      </c>
      <c r="J655" s="109">
        <f t="shared" si="51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6564763.9199999999</v>
      </c>
      <c r="G660" s="19">
        <f>(L229+L309+L359)</f>
        <v>0</v>
      </c>
      <c r="H660" s="19">
        <f>(L247+L328+L360)</f>
        <v>2493242</v>
      </c>
      <c r="I660" s="19">
        <f>SUM(F660:H660)</f>
        <v>9058005.9199999999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43587.64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43587.64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328331.26</v>
      </c>
      <c r="G662" s="19">
        <f>(L226+L306)-(J226+J306)</f>
        <v>0</v>
      </c>
      <c r="H662" s="19">
        <f>(L244+L325)-(J244+J325)</f>
        <v>111047</v>
      </c>
      <c r="I662" s="19">
        <f>SUM(F662:H662)</f>
        <v>439378.26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99462.31</v>
      </c>
      <c r="G663" s="199">
        <f>SUM(G575:G587)+SUM(I602:I604)+L612</f>
        <v>0</v>
      </c>
      <c r="H663" s="199">
        <f>SUM(H575:H587)+SUM(J602:J604)+L613</f>
        <v>2315570.96</v>
      </c>
      <c r="I663" s="19">
        <f>SUM(F663:H663)</f>
        <v>2415033.27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6093382.71</v>
      </c>
      <c r="G664" s="19">
        <f>G660-SUM(G661:G663)</f>
        <v>0</v>
      </c>
      <c r="H664" s="19">
        <f>H660-SUM(H661:H663)</f>
        <v>66624.040000000037</v>
      </c>
      <c r="I664" s="19">
        <f>I660-SUM(I661:I663)</f>
        <v>6160006.75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424.99</v>
      </c>
      <c r="G665" s="248"/>
      <c r="H665" s="248"/>
      <c r="I665" s="19">
        <f>SUM(F665:H665)</f>
        <v>424.99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14337.71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14494.47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-66624.039999999994</v>
      </c>
      <c r="I669" s="19">
        <f>SUM(F669:H669)</f>
        <v>-66624.039999999994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14337.71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14337.71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21" sqref="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Wakefield School District SAU 101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1647636</v>
      </c>
      <c r="C9" s="229">
        <f>'DOE25'!G197+'DOE25'!G215+'DOE25'!G233+'DOE25'!G276+'DOE25'!G295+'DOE25'!G314</f>
        <v>802318</v>
      </c>
    </row>
    <row r="10" spans="1:3" x14ac:dyDescent="0.2">
      <c r="A10" t="s">
        <v>778</v>
      </c>
      <c r="B10" s="240">
        <f>1581494+66142</f>
        <v>1647636</v>
      </c>
      <c r="C10" s="240">
        <f>763007+39311</f>
        <v>802318</v>
      </c>
    </row>
    <row r="11" spans="1:3" x14ac:dyDescent="0.2">
      <c r="A11" t="s">
        <v>779</v>
      </c>
      <c r="B11" s="240"/>
      <c r="C11" s="240"/>
    </row>
    <row r="12" spans="1:3" x14ac:dyDescent="0.2">
      <c r="A12" t="s">
        <v>780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1647636</v>
      </c>
      <c r="C13" s="231">
        <f>SUM(C10:C12)</f>
        <v>802318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792067</v>
      </c>
      <c r="C18" s="229">
        <f>'DOE25'!G198+'DOE25'!G216+'DOE25'!G234+'DOE25'!G277+'DOE25'!G296+'DOE25'!G315</f>
        <v>409675</v>
      </c>
    </row>
    <row r="19" spans="1:3" x14ac:dyDescent="0.2">
      <c r="A19" t="s">
        <v>778</v>
      </c>
      <c r="B19" s="240">
        <f>+(792068.1-393353.33-1.1)</f>
        <v>398713.67</v>
      </c>
      <c r="C19" s="240">
        <v>286772.5</v>
      </c>
    </row>
    <row r="20" spans="1:3" x14ac:dyDescent="0.2">
      <c r="A20" t="s">
        <v>779</v>
      </c>
      <c r="B20" s="240">
        <f>16492.84+376860.49</f>
        <v>393353.33</v>
      </c>
      <c r="C20" s="240">
        <v>122902.5</v>
      </c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792067</v>
      </c>
      <c r="C22" s="231">
        <f>SUM(C19:C21)</f>
        <v>409675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 t="e">
        <f>'DOE25'!F199+'DOE25'!F217+'DOE25'!F235+'DOE25'!F278+'DOE25'!F297+'DOE25'!F316</f>
        <v>#VALUE!</v>
      </c>
      <c r="C27" s="234" t="e">
        <f>'DOE25'!G199+'DOE25'!G217+'DOE25'!G235+'DOE25'!G278+'DOE25'!G297+'DOE25'!G316</f>
        <v>#VALUE!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e">
        <f>IF(B27=B31,IF(C27=C31,"Check Total OK","Check Total Error"),"Check Total Error")</f>
        <v>#VALUE!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21239</v>
      </c>
      <c r="C36" s="235">
        <f>'DOE25'!G200+'DOE25'!G218+'DOE25'!G236+'DOE25'!G279+'DOE25'!G298+'DOE25'!G317</f>
        <v>4463</v>
      </c>
    </row>
    <row r="37" spans="1:3" x14ac:dyDescent="0.2">
      <c r="A37" t="s">
        <v>778</v>
      </c>
      <c r="B37" s="240">
        <v>21239</v>
      </c>
      <c r="C37" s="240">
        <v>4463</v>
      </c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21239</v>
      </c>
      <c r="C40" s="231">
        <f>SUM(C37:C39)</f>
        <v>4463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Wakefield School District SAU 101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6482978</v>
      </c>
      <c r="D5" s="20">
        <f>SUM('DOE25'!L197:L200)+SUM('DOE25'!L215:L218)+SUM('DOE25'!L233:L236)-F5-G5</f>
        <v>6481287</v>
      </c>
      <c r="E5" s="243"/>
      <c r="F5" s="255">
        <f>SUM('DOE25'!J197:J200)+SUM('DOE25'!J215:J218)+SUM('DOE25'!J233:J236)</f>
        <v>1484</v>
      </c>
      <c r="G5" s="53">
        <f>SUM('DOE25'!K197:K200)+SUM('DOE25'!K215:K218)+SUM('DOE25'!K233:K236)</f>
        <v>207</v>
      </c>
      <c r="H5" s="259"/>
    </row>
    <row r="6" spans="1:9" x14ac:dyDescent="0.2">
      <c r="A6" s="32">
        <v>2100</v>
      </c>
      <c r="B6" t="s">
        <v>800</v>
      </c>
      <c r="C6" s="245">
        <f t="shared" si="0"/>
        <v>227189</v>
      </c>
      <c r="D6" s="20">
        <f>'DOE25'!L202+'DOE25'!L220+'DOE25'!L238-F6-G6</f>
        <v>227174</v>
      </c>
      <c r="E6" s="243"/>
      <c r="F6" s="255">
        <f>'DOE25'!J202+'DOE25'!J220+'DOE25'!J238</f>
        <v>0</v>
      </c>
      <c r="G6" s="53">
        <f>'DOE25'!K202+'DOE25'!K220+'DOE25'!K238</f>
        <v>15</v>
      </c>
      <c r="H6" s="259"/>
    </row>
    <row r="7" spans="1:9" x14ac:dyDescent="0.2">
      <c r="A7" s="32">
        <v>2200</v>
      </c>
      <c r="B7" t="s">
        <v>833</v>
      </c>
      <c r="C7" s="245">
        <f t="shared" si="0"/>
        <v>143316</v>
      </c>
      <c r="D7" s="20">
        <f>'DOE25'!L203+'DOE25'!L221+'DOE25'!L239-F7-G7</f>
        <v>140935</v>
      </c>
      <c r="E7" s="243"/>
      <c r="F7" s="255">
        <f>'DOE25'!J203+'DOE25'!J221+'DOE25'!J239</f>
        <v>2381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433953</v>
      </c>
      <c r="D8" s="243"/>
      <c r="E8" s="20">
        <f>'DOE25'!L204+'DOE25'!L222+'DOE25'!L240-F8-G8-D9-D11</f>
        <v>427850</v>
      </c>
      <c r="F8" s="255">
        <f>'DOE25'!J204+'DOE25'!J222+'DOE25'!J240</f>
        <v>0</v>
      </c>
      <c r="G8" s="53">
        <f>'DOE25'!K204+'DOE25'!K222+'DOE25'!K240</f>
        <v>6103</v>
      </c>
      <c r="H8" s="259"/>
    </row>
    <row r="9" spans="1:9" x14ac:dyDescent="0.2">
      <c r="A9" s="32">
        <v>2310</v>
      </c>
      <c r="B9" t="s">
        <v>817</v>
      </c>
      <c r="C9" s="245">
        <f t="shared" si="0"/>
        <v>30343</v>
      </c>
      <c r="D9" s="244">
        <f>+'DOE25'!F240+'DOE25'!G240+'DOE25'!I240+'DOE25'!K240+'DOE25'!F204+'DOE25'!G204+'DOE25'!K204</f>
        <v>30343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13022.52</v>
      </c>
      <c r="D10" s="243"/>
      <c r="E10" s="244">
        <v>13022.52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144651</v>
      </c>
      <c r="D11" s="244">
        <f>+('DOE25'!H204+'DOE25'!H240)*0.25</f>
        <v>144651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309829</v>
      </c>
      <c r="D12" s="20">
        <f>'DOE25'!L205+'DOE25'!L223+'DOE25'!L241-F12-G12</f>
        <v>306862</v>
      </c>
      <c r="E12" s="243"/>
      <c r="F12" s="255">
        <f>'DOE25'!J205+'DOE25'!J223+'DOE25'!J241</f>
        <v>0</v>
      </c>
      <c r="G12" s="53">
        <f>'DOE25'!K205+'DOE25'!K223+'DOE25'!K241</f>
        <v>2967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400887</v>
      </c>
      <c r="D14" s="20">
        <f>'DOE25'!L207+'DOE25'!L225+'DOE25'!L243-F14-G14</f>
        <v>391318</v>
      </c>
      <c r="E14" s="243"/>
      <c r="F14" s="255">
        <f>'DOE25'!J207+'DOE25'!J225+'DOE25'!J243</f>
        <v>7954</v>
      </c>
      <c r="G14" s="53">
        <f>'DOE25'!K207+'DOE25'!K225+'DOE25'!K243</f>
        <v>1615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439378.26</v>
      </c>
      <c r="D15" s="20">
        <f>'DOE25'!L208+'DOE25'!L226+'DOE25'!L244-F15-G15</f>
        <v>419841.26</v>
      </c>
      <c r="E15" s="243"/>
      <c r="F15" s="255">
        <f>'DOE25'!J208+'DOE25'!J226+'DOE25'!J244</f>
        <v>0</v>
      </c>
      <c r="G15" s="53">
        <f>'DOE25'!K208+'DOE25'!K226+'DOE25'!K244</f>
        <v>19537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52996</v>
      </c>
      <c r="D16" s="243"/>
      <c r="E16" s="20">
        <f>'DOE25'!L209+'DOE25'!L227+'DOE25'!L245-F16-G16</f>
        <v>27585</v>
      </c>
      <c r="F16" s="255">
        <f>'DOE25'!J209+'DOE25'!J227+'DOE25'!J245</f>
        <v>25411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200685.66</v>
      </c>
      <c r="D29" s="20">
        <f>'DOE25'!L358+'DOE25'!L359+'DOE25'!L360-'DOE25'!I367-F29-G29</f>
        <v>198041.66</v>
      </c>
      <c r="E29" s="243"/>
      <c r="F29" s="255">
        <f>'DOE25'!J358+'DOE25'!J359+'DOE25'!J360</f>
        <v>2644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191800</v>
      </c>
      <c r="D31" s="20">
        <f>'DOE25'!L290+'DOE25'!L309+'DOE25'!L328+'DOE25'!L333+'DOE25'!L334+'DOE25'!L335-F31-G31</f>
        <v>184324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7476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8524776.9199999999</v>
      </c>
      <c r="E33" s="246">
        <f>SUM(E5:E31)</f>
        <v>468457.52</v>
      </c>
      <c r="F33" s="246">
        <f>SUM(F5:F31)</f>
        <v>39874</v>
      </c>
      <c r="G33" s="246">
        <f>SUM(G5:G31)</f>
        <v>37920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468457.52</v>
      </c>
      <c r="E35" s="249"/>
    </row>
    <row r="36" spans="2:8" ht="12" thickTop="1" x14ac:dyDescent="0.2">
      <c r="B36" t="s">
        <v>814</v>
      </c>
      <c r="D36" s="20">
        <f>D33</f>
        <v>8524776.9199999999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120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Wakefield School District SAU 101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573366.48</v>
      </c>
      <c r="D8" s="95">
        <f>'DOE25'!G9</f>
        <v>9087.7900000000009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342368.67999999993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51494.89</v>
      </c>
      <c r="D11" s="95">
        <f>'DOE25'!G12</f>
        <v>4780.03</v>
      </c>
      <c r="E11" s="95">
        <f>'DOE25'!H12</f>
        <v>22980.240000000002</v>
      </c>
      <c r="F11" s="95">
        <f>'DOE25'!I12</f>
        <v>0</v>
      </c>
      <c r="G11" s="95">
        <f>'DOE25'!J12</f>
        <v>202500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7715.65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197.21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625058.57999999996</v>
      </c>
      <c r="D18" s="41">
        <f>SUM(D8:D17)</f>
        <v>21583.47</v>
      </c>
      <c r="E18" s="41">
        <f>SUM(E8:E17)</f>
        <v>22980.240000000002</v>
      </c>
      <c r="F18" s="41">
        <f>SUM(F8:F17)</f>
        <v>0</v>
      </c>
      <c r="G18" s="41">
        <f>SUM(G8:G17)</f>
        <v>544868.67999999993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52767.43</v>
      </c>
      <c r="F21" s="95">
        <f>'DOE25'!I22</f>
        <v>0</v>
      </c>
      <c r="G21" s="95">
        <f>'DOE25'!J22</f>
        <v>202500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1173.1300000000001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39597.71</v>
      </c>
      <c r="D23" s="95">
        <f>'DOE25'!G24</f>
        <v>35210.089999999997</v>
      </c>
      <c r="E23" s="95">
        <f>'DOE25'!H24</f>
        <v>19893.509999999998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180573.76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6877.5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228222.1</v>
      </c>
      <c r="D31" s="41">
        <f>SUM(D21:D30)</f>
        <v>35210.089999999997</v>
      </c>
      <c r="E31" s="41">
        <f>SUM(E21:E30)</f>
        <v>72660.94</v>
      </c>
      <c r="F31" s="41">
        <f>SUM(F21:F30)</f>
        <v>0</v>
      </c>
      <c r="G31" s="41">
        <f>SUM(G21:G30)</f>
        <v>202500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28500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-13626.62</v>
      </c>
      <c r="E47" s="95">
        <f>'DOE25'!H48</f>
        <v>-49680.7</v>
      </c>
      <c r="F47" s="95">
        <f>'DOE25'!I48</f>
        <v>0</v>
      </c>
      <c r="G47" s="95">
        <f>'DOE25'!J48</f>
        <v>342368.68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368336.48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396836.48</v>
      </c>
      <c r="D50" s="41">
        <f>SUM(D34:D49)</f>
        <v>-13626.62</v>
      </c>
      <c r="E50" s="41">
        <f>SUM(E34:E49)</f>
        <v>-49680.7</v>
      </c>
      <c r="F50" s="41">
        <f>SUM(F34:F49)</f>
        <v>0</v>
      </c>
      <c r="G50" s="41">
        <f>SUM(G34:G49)</f>
        <v>342368.68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625058.57999999996</v>
      </c>
      <c r="D51" s="41">
        <f>D50+D31</f>
        <v>21583.469999999994</v>
      </c>
      <c r="E51" s="41">
        <f>E50+E31</f>
        <v>22980.240000000005</v>
      </c>
      <c r="F51" s="41">
        <f>F50+F31</f>
        <v>0</v>
      </c>
      <c r="G51" s="41">
        <f>G50+G31</f>
        <v>544868.67999999993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5287885.83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12500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2055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43587.64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6212.3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8267.2999999999993</v>
      </c>
      <c r="D62" s="130">
        <f>SUM(D57:D61)</f>
        <v>43587.64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5296153.13</v>
      </c>
      <c r="D63" s="22">
        <f>D56+D62</f>
        <v>43587.64</v>
      </c>
      <c r="E63" s="22">
        <f>E56+E62</f>
        <v>0</v>
      </c>
      <c r="F63" s="22">
        <f>F56+F62</f>
        <v>0</v>
      </c>
      <c r="G63" s="22">
        <f>G56+G62</f>
        <v>12500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1222981.42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2054878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3277859.42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22221.18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22221.18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3277859.42</v>
      </c>
      <c r="D81" s="130">
        <f>SUM(D79:D80)+D78+D70</f>
        <v>22221.18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6750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85693.64</v>
      </c>
      <c r="D88" s="95">
        <f>SUM('DOE25'!G153:G161)</f>
        <v>107797.22</v>
      </c>
      <c r="E88" s="95">
        <f>SUM('DOE25'!H153:H161)</f>
        <v>135369.29999999999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85693.64</v>
      </c>
      <c r="D91" s="131">
        <f>SUM(D85:D90)</f>
        <v>107797.22</v>
      </c>
      <c r="E91" s="131">
        <f>SUM(E85:E90)</f>
        <v>142119.29999999999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190000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190000</v>
      </c>
    </row>
    <row r="104" spans="1:7" ht="12.75" thickTop="1" thickBot="1" x14ac:dyDescent="0.25">
      <c r="A104" s="33" t="s">
        <v>764</v>
      </c>
      <c r="C104" s="86">
        <f>C63+C81+C91+C103</f>
        <v>8659706.1900000013</v>
      </c>
      <c r="D104" s="86">
        <f>D63+D81+D91+D103</f>
        <v>173606.04</v>
      </c>
      <c r="E104" s="86">
        <f>E63+E81+E91+E103</f>
        <v>142119.29999999999</v>
      </c>
      <c r="F104" s="86">
        <f>F63+F81+F91+F103</f>
        <v>0</v>
      </c>
      <c r="G104" s="86">
        <f>G63+G81+G103</f>
        <v>202500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4596565</v>
      </c>
      <c r="D109" s="24" t="s">
        <v>288</v>
      </c>
      <c r="E109" s="95">
        <f>('DOE25'!L276)+('DOE25'!L295)+('DOE25'!L314)</f>
        <v>124226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1837679</v>
      </c>
      <c r="D110" s="24" t="s">
        <v>288</v>
      </c>
      <c r="E110" s="95">
        <f>('DOE25'!L277)+('DOE25'!L296)+('DOE25'!L315)</f>
        <v>35481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479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48734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6482978</v>
      </c>
      <c r="D115" s="86">
        <f>SUM(D109:D114)</f>
        <v>0</v>
      </c>
      <c r="E115" s="86">
        <f>SUM(E109:E114)</f>
        <v>160186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227189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143316</v>
      </c>
      <c r="D119" s="24" t="s">
        <v>288</v>
      </c>
      <c r="E119" s="95">
        <f>+('DOE25'!L282)+('DOE25'!L301)+('DOE25'!L320)</f>
        <v>24138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608947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309829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7476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400887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439378.26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52996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200685.66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2182542.2599999998</v>
      </c>
      <c r="D128" s="86">
        <f>SUM(D118:D127)</f>
        <v>200685.66</v>
      </c>
      <c r="E128" s="86">
        <f>SUM(E118:E127)</f>
        <v>31614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202500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202500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-12500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190000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202500</v>
      </c>
    </row>
    <row r="145" spans="1:9" ht="12.75" thickTop="1" thickBot="1" x14ac:dyDescent="0.25">
      <c r="A145" s="33" t="s">
        <v>244</v>
      </c>
      <c r="C145" s="86">
        <f>(C115+C128+C144)</f>
        <v>8855520.2599999998</v>
      </c>
      <c r="D145" s="86">
        <f>(D115+D128+D144)</f>
        <v>200685.66</v>
      </c>
      <c r="E145" s="86">
        <f>(E115+E128+E144)</f>
        <v>191800</v>
      </c>
      <c r="F145" s="86">
        <f>(F115+F128+F144)</f>
        <v>0</v>
      </c>
      <c r="G145" s="86">
        <f>(G115+G128+G144)</f>
        <v>202500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Wakefield School District SAU 101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14338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14338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4720791</v>
      </c>
      <c r="D10" s="182">
        <f>ROUND((C10/$C$28)*100,1)</f>
        <v>52.4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1873160</v>
      </c>
      <c r="D11" s="182">
        <f>ROUND((C11/$C$28)*100,1)</f>
        <v>20.8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479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48734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227189</v>
      </c>
      <c r="D15" s="182">
        <f t="shared" ref="D15:D27" si="0">ROUND((C15/$C$28)*100,1)</f>
        <v>2.5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167454</v>
      </c>
      <c r="D16" s="182">
        <f t="shared" si="0"/>
        <v>1.9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661943</v>
      </c>
      <c r="D17" s="182">
        <f t="shared" si="0"/>
        <v>7.3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309829</v>
      </c>
      <c r="D18" s="182">
        <f t="shared" si="0"/>
        <v>3.4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7476</v>
      </c>
      <c r="D19" s="182">
        <f t="shared" si="0"/>
        <v>0.1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400887</v>
      </c>
      <c r="D20" s="182">
        <f t="shared" si="0"/>
        <v>4.4000000000000004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439378</v>
      </c>
      <c r="D21" s="182">
        <f t="shared" si="0"/>
        <v>4.9000000000000004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157098.35999999999</v>
      </c>
      <c r="D27" s="182">
        <f t="shared" si="0"/>
        <v>1.7</v>
      </c>
    </row>
    <row r="28" spans="1:4" x14ac:dyDescent="0.2">
      <c r="B28" s="187" t="s">
        <v>722</v>
      </c>
      <c r="C28" s="180">
        <f>SUM(C10:C27)</f>
        <v>9014418.3599999994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9014418.3599999994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5300386</v>
      </c>
      <c r="D35" s="182">
        <f t="shared" ref="D35:D40" si="1">ROUND((C35/$C$41)*100,1)</f>
        <v>59.3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8267.1299999998882</v>
      </c>
      <c r="D36" s="182">
        <f t="shared" si="1"/>
        <v>0.1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3277859</v>
      </c>
      <c r="D37" s="182">
        <f t="shared" si="1"/>
        <v>36.6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22221</v>
      </c>
      <c r="D38" s="182">
        <f t="shared" si="1"/>
        <v>0.2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335610</v>
      </c>
      <c r="D39" s="182">
        <f t="shared" si="1"/>
        <v>3.8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8944343.129999999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6" sqref="C6:M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Wakefield School District SAU 101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>
        <v>19</v>
      </c>
      <c r="B4" s="219">
        <v>469</v>
      </c>
      <c r="C4" s="286" t="s">
        <v>913</v>
      </c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19</v>
      </c>
      <c r="B5" s="219">
        <v>476</v>
      </c>
      <c r="C5" s="286" t="s">
        <v>914</v>
      </c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 t="s">
        <v>915</v>
      </c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2017-11-03T16:56:54Z</cp:lastPrinted>
  <dcterms:created xsi:type="dcterms:W3CDTF">1997-12-04T19:04:30Z</dcterms:created>
  <dcterms:modified xsi:type="dcterms:W3CDTF">2017-11-29T18:08:01Z</dcterms:modified>
</cp:coreProperties>
</file>