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B38" i="12" l="1"/>
  <c r="C19" i="12"/>
  <c r="C20" i="12"/>
  <c r="C10" i="12"/>
  <c r="C11" i="12"/>
  <c r="C12" i="12"/>
  <c r="F582" i="1"/>
  <c r="J591" i="1"/>
  <c r="H591" i="1"/>
  <c r="H208" i="1"/>
  <c r="H287" i="1"/>
  <c r="H576" i="1"/>
  <c r="G204" i="1"/>
  <c r="F204" i="1"/>
  <c r="H198" i="1"/>
  <c r="I197" i="1"/>
  <c r="H521" i="1"/>
  <c r="H358" i="1"/>
  <c r="H282" i="1"/>
  <c r="H281" i="1"/>
  <c r="H279" i="1"/>
  <c r="K204" i="1"/>
  <c r="H240" i="1"/>
  <c r="H207" i="1"/>
  <c r="H204" i="1"/>
  <c r="H203" i="1"/>
  <c r="H202" i="1"/>
  <c r="H200" i="1"/>
  <c r="H155" i="1"/>
  <c r="G158" i="1"/>
  <c r="G132" i="1"/>
  <c r="H13" i="1"/>
  <c r="F24" i="1"/>
  <c r="F5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C12" i="10" s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G649" i="1" s="1"/>
  <c r="J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D29" i="13" s="1"/>
  <c r="C29" i="13" s="1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B18" i="12"/>
  <c r="B22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3" i="10"/>
  <c r="C16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I661" i="1" s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C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H461" i="1" s="1"/>
  <c r="H641" i="1" s="1"/>
  <c r="I460" i="1"/>
  <c r="F461" i="1"/>
  <c r="G461" i="1"/>
  <c r="I461" i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J640" i="1" s="1"/>
  <c r="G641" i="1"/>
  <c r="G643" i="1"/>
  <c r="J643" i="1" s="1"/>
  <c r="H643" i="1"/>
  <c r="G644" i="1"/>
  <c r="H644" i="1"/>
  <c r="G645" i="1"/>
  <c r="H647" i="1"/>
  <c r="G650" i="1"/>
  <c r="G651" i="1"/>
  <c r="G652" i="1"/>
  <c r="H652" i="1"/>
  <c r="G653" i="1"/>
  <c r="H653" i="1"/>
  <c r="G654" i="1"/>
  <c r="H654" i="1"/>
  <c r="H655" i="1"/>
  <c r="J655" i="1" s="1"/>
  <c r="C26" i="10"/>
  <c r="L328" i="1"/>
  <c r="L351" i="1"/>
  <c r="C70" i="2"/>
  <c r="D12" i="13"/>
  <c r="C12" i="13" s="1"/>
  <c r="D18" i="13"/>
  <c r="C18" i="13" s="1"/>
  <c r="D7" i="13"/>
  <c r="C7" i="13" s="1"/>
  <c r="D18" i="2"/>
  <c r="D17" i="13"/>
  <c r="C17" i="13" s="1"/>
  <c r="C91" i="2"/>
  <c r="F78" i="2"/>
  <c r="F81" i="2" s="1"/>
  <c r="C78" i="2"/>
  <c r="D50" i="2"/>
  <c r="F18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H112" i="1"/>
  <c r="J639" i="1"/>
  <c r="L433" i="1"/>
  <c r="D81" i="2"/>
  <c r="I169" i="1"/>
  <c r="H169" i="1"/>
  <c r="G552" i="1"/>
  <c r="J644" i="1"/>
  <c r="J476" i="1"/>
  <c r="H626" i="1" s="1"/>
  <c r="F476" i="1"/>
  <c r="H622" i="1" s="1"/>
  <c r="I476" i="1"/>
  <c r="H625" i="1" s="1"/>
  <c r="J625" i="1" s="1"/>
  <c r="G476" i="1"/>
  <c r="H623" i="1" s="1"/>
  <c r="J623" i="1" s="1"/>
  <c r="F169" i="1"/>
  <c r="J140" i="1"/>
  <c r="F571" i="1"/>
  <c r="H257" i="1"/>
  <c r="H271" i="1" s="1"/>
  <c r="I552" i="1"/>
  <c r="K550" i="1"/>
  <c r="G22" i="2"/>
  <c r="K545" i="1"/>
  <c r="J552" i="1"/>
  <c r="C29" i="10"/>
  <c r="H140" i="1"/>
  <c r="L401" i="1"/>
  <c r="C139" i="2" s="1"/>
  <c r="L393" i="1"/>
  <c r="F22" i="13"/>
  <c r="H25" i="13"/>
  <c r="C25" i="13" s="1"/>
  <c r="H571" i="1"/>
  <c r="J545" i="1"/>
  <c r="H338" i="1"/>
  <c r="H352" i="1" s="1"/>
  <c r="G192" i="1"/>
  <c r="H192" i="1"/>
  <c r="C35" i="10"/>
  <c r="L309" i="1"/>
  <c r="E16" i="13"/>
  <c r="C16" i="13" s="1"/>
  <c r="J636" i="1"/>
  <c r="G36" i="2"/>
  <c r="L565" i="1"/>
  <c r="C22" i="13"/>
  <c r="C138" i="2"/>
  <c r="H33" i="13"/>
  <c r="A40" i="12" l="1"/>
  <c r="K598" i="1"/>
  <c r="G647" i="1" s="1"/>
  <c r="J647" i="1" s="1"/>
  <c r="K551" i="1"/>
  <c r="L229" i="1"/>
  <c r="H552" i="1"/>
  <c r="L534" i="1"/>
  <c r="H545" i="1"/>
  <c r="G545" i="1"/>
  <c r="K549" i="1"/>
  <c r="L524" i="1"/>
  <c r="L545" i="1" s="1"/>
  <c r="H476" i="1"/>
  <c r="H624" i="1" s="1"/>
  <c r="I446" i="1"/>
  <c r="G642" i="1" s="1"/>
  <c r="J634" i="1"/>
  <c r="C18" i="10"/>
  <c r="E128" i="2"/>
  <c r="E115" i="2"/>
  <c r="L290" i="1"/>
  <c r="L338" i="1" s="1"/>
  <c r="L352" i="1" s="1"/>
  <c r="G633" i="1" s="1"/>
  <c r="J633" i="1" s="1"/>
  <c r="C10" i="10"/>
  <c r="I257" i="1"/>
  <c r="I271" i="1" s="1"/>
  <c r="E8" i="13"/>
  <c r="C8" i="13" s="1"/>
  <c r="C17" i="10"/>
  <c r="C111" i="2"/>
  <c r="L247" i="1"/>
  <c r="H660" i="1" s="1"/>
  <c r="H664" i="1" s="1"/>
  <c r="F257" i="1"/>
  <c r="F271" i="1" s="1"/>
  <c r="F662" i="1"/>
  <c r="I662" i="1" s="1"/>
  <c r="C124" i="2"/>
  <c r="C21" i="10"/>
  <c r="D15" i="13"/>
  <c r="C15" i="13" s="1"/>
  <c r="L211" i="1"/>
  <c r="C118" i="2"/>
  <c r="D6" i="13"/>
  <c r="C6" i="13" s="1"/>
  <c r="D5" i="13"/>
  <c r="C5" i="13" s="1"/>
  <c r="K257" i="1"/>
  <c r="K271" i="1" s="1"/>
  <c r="G257" i="1"/>
  <c r="G271" i="1" s="1"/>
  <c r="C115" i="2"/>
  <c r="J645" i="1"/>
  <c r="C81" i="2"/>
  <c r="C62" i="2"/>
  <c r="C63" i="2" s="1"/>
  <c r="F112" i="1"/>
  <c r="C36" i="10" s="1"/>
  <c r="H52" i="1"/>
  <c r="H619" i="1" s="1"/>
  <c r="J619" i="1" s="1"/>
  <c r="J622" i="1"/>
  <c r="J617" i="1"/>
  <c r="J641" i="1"/>
  <c r="G624" i="1"/>
  <c r="J624" i="1" s="1"/>
  <c r="K500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E33" i="13" l="1"/>
  <c r="D35" i="13" s="1"/>
  <c r="K552" i="1"/>
  <c r="H646" i="1"/>
  <c r="D31" i="13"/>
  <c r="C31" i="13" s="1"/>
  <c r="E145" i="2"/>
  <c r="H667" i="1"/>
  <c r="H672" i="1"/>
  <c r="C6" i="10" s="1"/>
  <c r="L257" i="1"/>
  <c r="L271" i="1" s="1"/>
  <c r="G632" i="1" s="1"/>
  <c r="J632" i="1" s="1"/>
  <c r="G672" i="1"/>
  <c r="C5" i="10" s="1"/>
  <c r="C128" i="2"/>
  <c r="C145" i="2" s="1"/>
  <c r="C28" i="10"/>
  <c r="D24" i="10" s="1"/>
  <c r="F660" i="1"/>
  <c r="F664" i="1" s="1"/>
  <c r="F672" i="1" s="1"/>
  <c r="C4" i="10" s="1"/>
  <c r="G104" i="2"/>
  <c r="C104" i="2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0" i="10"/>
  <c r="C30" i="10"/>
  <c r="D13" i="10"/>
  <c r="D11" i="10"/>
  <c r="D27" i="10"/>
  <c r="D26" i="10"/>
  <c r="D25" i="10"/>
  <c r="D10" i="10"/>
  <c r="D15" i="10"/>
  <c r="D23" i="10"/>
  <c r="D21" i="10"/>
  <c r="D16" i="10"/>
  <c r="D19" i="10"/>
  <c r="D22" i="10"/>
  <c r="D18" i="10"/>
  <c r="D17" i="10"/>
  <c r="D12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  <c r="C13" i="12"/>
  <c r="A13" i="12" s="1"/>
  <c r="C22" i="12"/>
  <c r="A22" i="12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<sst xmlns="http://schemas.openxmlformats.org/spreadsheetml/2006/main" count="3955" uniqueCount="913">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</sst>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A677" sqref="A67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549</v>
      </c>
      <c r="C2" s="21">
        <v>549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149562+250</f>
        <v>149812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59179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>
        <v>4551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3597</v>
      </c>
      <c r="G13" s="18">
        <v>3779</v>
      </c>
      <c r="H13" s="18">
        <f>24872-1</f>
        <v>24871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2260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1382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157051</v>
      </c>
      <c r="G19" s="41">
        <f>SUM(G9:G18)</f>
        <v>3779</v>
      </c>
      <c r="H19" s="41">
        <f>SUM(H9:H18)</f>
        <v>29422</v>
      </c>
      <c r="I19" s="41">
        <f>SUM(I9:I18)</f>
        <v>0</v>
      </c>
      <c r="J19" s="41">
        <f>SUM(J9:J18)</f>
        <v>59179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829</v>
      </c>
      <c r="G22" s="18">
        <v>3722</v>
      </c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10262+81-1</f>
        <v>10342</v>
      </c>
      <c r="G24" s="18">
        <v>57</v>
      </c>
      <c r="H24" s="18">
        <v>725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291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28697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11462</v>
      </c>
      <c r="G32" s="41">
        <f>SUM(G22:G31)</f>
        <v>3779</v>
      </c>
      <c r="H32" s="41">
        <f>SUM(H22:H31)</f>
        <v>29422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1382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59179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34061+2120477-2025331</f>
        <v>129207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145589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59179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157051</v>
      </c>
      <c r="G52" s="41">
        <f>G51+G32</f>
        <v>3779</v>
      </c>
      <c r="H52" s="41">
        <f>H51+H32</f>
        <v>29422</v>
      </c>
      <c r="I52" s="41">
        <f>I51+I32</f>
        <v>0</v>
      </c>
      <c r="J52" s="41">
        <f>J51+J32</f>
        <v>59179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1191237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1191237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200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266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9052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15423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50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590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1531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2437</v>
      </c>
      <c r="G111" s="41">
        <f>SUM(G96:G110)</f>
        <v>9052</v>
      </c>
      <c r="H111" s="41">
        <f>SUM(H96:H110)</f>
        <v>15423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1193874</v>
      </c>
      <c r="G112" s="41">
        <f>G60+G111</f>
        <v>9052</v>
      </c>
      <c r="H112" s="41">
        <f>H60+H79+H94+H111</f>
        <v>15423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738372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144837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766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883975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7098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998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91+565</f>
        <v>656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8096</v>
      </c>
      <c r="G136" s="41">
        <f>SUM(G123:G135)</f>
        <v>656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892071</v>
      </c>
      <c r="G140" s="41">
        <f>G121+SUM(G136:G137)</f>
        <v>656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26313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3585+69982</f>
        <v>73567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4258+5611+18444+1488</f>
        <v>29801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26022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26022</v>
      </c>
      <c r="G162" s="41">
        <f>SUM(G150:G161)</f>
        <v>29801</v>
      </c>
      <c r="H162" s="41">
        <f>SUM(H150:H161)</f>
        <v>99880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8510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34532</v>
      </c>
      <c r="G169" s="41">
        <f>G147+G162+SUM(G163:G168)</f>
        <v>29801</v>
      </c>
      <c r="H169" s="41">
        <f>H147+H162+SUM(H163:H168)</f>
        <v>99880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24407</v>
      </c>
      <c r="H179" s="18"/>
      <c r="I179" s="18"/>
      <c r="J179" s="18">
        <v>15000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24407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24407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2120477</v>
      </c>
      <c r="G193" s="47">
        <f>G112+G140+G169+G192</f>
        <v>63916</v>
      </c>
      <c r="H193" s="47">
        <f>H112+H140+H169+H192</f>
        <v>115303</v>
      </c>
      <c r="I193" s="47">
        <f>I112+I140+I169+I192</f>
        <v>0</v>
      </c>
      <c r="J193" s="47">
        <f>J112+J140+J192</f>
        <v>15000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426769</v>
      </c>
      <c r="G197" s="18">
        <v>178769</v>
      </c>
      <c r="H197" s="18">
        <v>46295</v>
      </c>
      <c r="I197" s="18">
        <f>37+10239</f>
        <v>10276</v>
      </c>
      <c r="J197" s="18">
        <v>3215</v>
      </c>
      <c r="K197" s="18">
        <v>394</v>
      </c>
      <c r="L197" s="19">
        <f>SUM(F197:K197)</f>
        <v>665718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129001</v>
      </c>
      <c r="G198" s="18">
        <v>55137</v>
      </c>
      <c r="H198" s="18">
        <f>2830+1910+23106</f>
        <v>27846</v>
      </c>
      <c r="I198" s="18">
        <v>1463</v>
      </c>
      <c r="J198" s="18">
        <v>1120</v>
      </c>
      <c r="K198" s="18">
        <v>125</v>
      </c>
      <c r="L198" s="19">
        <f>SUM(F198:K198)</f>
        <v>214692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8095</v>
      </c>
      <c r="G200" s="18">
        <v>1816</v>
      </c>
      <c r="H200" s="18">
        <f>150</f>
        <v>150</v>
      </c>
      <c r="I200" s="18">
        <v>522</v>
      </c>
      <c r="J200" s="18"/>
      <c r="K200" s="18"/>
      <c r="L200" s="19">
        <f>SUM(F200:K200)</f>
        <v>10583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43636</v>
      </c>
      <c r="G202" s="18">
        <v>10848</v>
      </c>
      <c r="H202" s="18">
        <f>75979</f>
        <v>75979</v>
      </c>
      <c r="I202" s="18">
        <v>3047</v>
      </c>
      <c r="J202" s="18">
        <v>114</v>
      </c>
      <c r="K202" s="18">
        <v>3161</v>
      </c>
      <c r="L202" s="19">
        <f t="shared" ref="L202:L208" si="0">SUM(F202:K202)</f>
        <v>136785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8388</v>
      </c>
      <c r="G203" s="18">
        <v>5194</v>
      </c>
      <c r="H203" s="18">
        <f>361+1045</f>
        <v>1406</v>
      </c>
      <c r="I203" s="18">
        <v>2222</v>
      </c>
      <c r="J203" s="18">
        <v>7980</v>
      </c>
      <c r="K203" s="18"/>
      <c r="L203" s="19">
        <f t="shared" si="0"/>
        <v>25190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256+1236</f>
        <v>1492</v>
      </c>
      <c r="G204" s="18">
        <f>20+77</f>
        <v>97</v>
      </c>
      <c r="H204" s="18">
        <f>67964+2747</f>
        <v>70711</v>
      </c>
      <c r="I204" s="18">
        <v>33</v>
      </c>
      <c r="J204" s="18"/>
      <c r="K204" s="18">
        <f>1662-1067+1</f>
        <v>596</v>
      </c>
      <c r="L204" s="19">
        <f t="shared" si="0"/>
        <v>72929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83375</v>
      </c>
      <c r="G205" s="18">
        <v>29944</v>
      </c>
      <c r="H205" s="18">
        <v>2550</v>
      </c>
      <c r="I205" s="18">
        <v>2883</v>
      </c>
      <c r="J205" s="18">
        <v>163</v>
      </c>
      <c r="K205" s="18">
        <v>634</v>
      </c>
      <c r="L205" s="19">
        <f t="shared" si="0"/>
        <v>119549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23669</v>
      </c>
      <c r="G207" s="18">
        <v>2001</v>
      </c>
      <c r="H207" s="18">
        <f>21787+1153</f>
        <v>22940</v>
      </c>
      <c r="I207" s="18">
        <v>29287</v>
      </c>
      <c r="J207" s="18">
        <v>1379</v>
      </c>
      <c r="K207" s="18"/>
      <c r="L207" s="19">
        <f t="shared" si="0"/>
        <v>79276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86353+2037</f>
        <v>88390</v>
      </c>
      <c r="I208" s="18"/>
      <c r="J208" s="18"/>
      <c r="K208" s="18"/>
      <c r="L208" s="19">
        <f t="shared" si="0"/>
        <v>88390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2199</v>
      </c>
      <c r="I209" s="18">
        <v>329</v>
      </c>
      <c r="J209" s="18"/>
      <c r="K209" s="18"/>
      <c r="L209" s="19">
        <f>SUM(F209:K209)</f>
        <v>2528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724425</v>
      </c>
      <c r="G211" s="41">
        <f t="shared" si="1"/>
        <v>283806</v>
      </c>
      <c r="H211" s="41">
        <f t="shared" si="1"/>
        <v>338466</v>
      </c>
      <c r="I211" s="41">
        <f t="shared" si="1"/>
        <v>50062</v>
      </c>
      <c r="J211" s="41">
        <f t="shared" si="1"/>
        <v>13971</v>
      </c>
      <c r="K211" s="41">
        <f t="shared" si="1"/>
        <v>4910</v>
      </c>
      <c r="L211" s="41">
        <f t="shared" si="1"/>
        <v>1415640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456469</v>
      </c>
      <c r="I233" s="18"/>
      <c r="J233" s="18"/>
      <c r="K233" s="18"/>
      <c r="L233" s="19">
        <f>SUM(F233:K233)</f>
        <v>456469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21707</v>
      </c>
      <c r="I234" s="18"/>
      <c r="J234" s="18"/>
      <c r="K234" s="18"/>
      <c r="L234" s="19">
        <f>SUM(F234:K234)</f>
        <v>21707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33362</v>
      </c>
      <c r="I235" s="18"/>
      <c r="J235" s="18"/>
      <c r="K235" s="18"/>
      <c r="L235" s="19">
        <f>SUM(F235:K235)</f>
        <v>33362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632</v>
      </c>
      <c r="G240" s="18">
        <v>42</v>
      </c>
      <c r="H240" s="18">
        <f>27959+1122</f>
        <v>29081</v>
      </c>
      <c r="I240" s="18">
        <v>13</v>
      </c>
      <c r="J240" s="18"/>
      <c r="K240" s="18">
        <v>679</v>
      </c>
      <c r="L240" s="19">
        <f t="shared" si="4"/>
        <v>30447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28299</v>
      </c>
      <c r="I244" s="18"/>
      <c r="J244" s="18"/>
      <c r="K244" s="18"/>
      <c r="L244" s="19">
        <f t="shared" si="4"/>
        <v>28299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632</v>
      </c>
      <c r="G247" s="41">
        <f t="shared" si="5"/>
        <v>42</v>
      </c>
      <c r="H247" s="41">
        <f t="shared" si="5"/>
        <v>568918</v>
      </c>
      <c r="I247" s="41">
        <f t="shared" si="5"/>
        <v>13</v>
      </c>
      <c r="J247" s="41">
        <f t="shared" si="5"/>
        <v>0</v>
      </c>
      <c r="K247" s="41">
        <f t="shared" si="5"/>
        <v>679</v>
      </c>
      <c r="L247" s="41">
        <f t="shared" si="5"/>
        <v>570284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725057</v>
      </c>
      <c r="G257" s="41">
        <f t="shared" si="8"/>
        <v>283848</v>
      </c>
      <c r="H257" s="41">
        <f t="shared" si="8"/>
        <v>907384</v>
      </c>
      <c r="I257" s="41">
        <f t="shared" si="8"/>
        <v>50075</v>
      </c>
      <c r="J257" s="41">
        <f t="shared" si="8"/>
        <v>13971</v>
      </c>
      <c r="K257" s="41">
        <f t="shared" si="8"/>
        <v>5589</v>
      </c>
      <c r="L257" s="41">
        <f t="shared" si="8"/>
        <v>1985924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24407</v>
      </c>
      <c r="L263" s="19">
        <f>SUM(F263:K263)</f>
        <v>24407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15000</v>
      </c>
      <c r="L266" s="19">
        <f t="shared" si="9"/>
        <v>15000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39407</v>
      </c>
      <c r="L270" s="41">
        <f t="shared" si="9"/>
        <v>39407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725057</v>
      </c>
      <c r="G271" s="42">
        <f t="shared" si="11"/>
        <v>283848</v>
      </c>
      <c r="H271" s="42">
        <f t="shared" si="11"/>
        <v>907384</v>
      </c>
      <c r="I271" s="42">
        <f t="shared" si="11"/>
        <v>50075</v>
      </c>
      <c r="J271" s="42">
        <f t="shared" si="11"/>
        <v>13971</v>
      </c>
      <c r="K271" s="42">
        <f t="shared" si="11"/>
        <v>44996</v>
      </c>
      <c r="L271" s="42">
        <f t="shared" si="11"/>
        <v>2025331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17065</v>
      </c>
      <c r="G276" s="18">
        <v>2860</v>
      </c>
      <c r="H276" s="18"/>
      <c r="I276" s="18">
        <v>2459</v>
      </c>
      <c r="J276" s="18"/>
      <c r="K276" s="18"/>
      <c r="L276" s="19">
        <f>SUM(F276:K276)</f>
        <v>22384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v>50</v>
      </c>
      <c r="I277" s="18">
        <v>425</v>
      </c>
      <c r="J277" s="18"/>
      <c r="K277" s="18"/>
      <c r="L277" s="19">
        <f>SUM(F277:K277)</f>
        <v>475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13988</v>
      </c>
      <c r="G279" s="18">
        <v>1346</v>
      </c>
      <c r="H279" s="18">
        <f>138+366</f>
        <v>504</v>
      </c>
      <c r="I279" s="18">
        <v>5535</v>
      </c>
      <c r="J279" s="18">
        <v>389</v>
      </c>
      <c r="K279" s="18"/>
      <c r="L279" s="19">
        <f>SUM(F279:K279)</f>
        <v>21762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f>851+3334+2835</f>
        <v>7020</v>
      </c>
      <c r="I281" s="18">
        <v>1987</v>
      </c>
      <c r="J281" s="18"/>
      <c r="K281" s="18"/>
      <c r="L281" s="19">
        <f t="shared" ref="L281:L287" si="12">SUM(F281:K281)</f>
        <v>9007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3134</v>
      </c>
      <c r="G282" s="18">
        <v>253</v>
      </c>
      <c r="H282" s="18">
        <f>4898+1427</f>
        <v>6325</v>
      </c>
      <c r="I282" s="18"/>
      <c r="J282" s="18"/>
      <c r="K282" s="18"/>
      <c r="L282" s="19">
        <f t="shared" si="12"/>
        <v>9712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929</v>
      </c>
      <c r="L283" s="19">
        <f t="shared" si="12"/>
        <v>929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39815</v>
      </c>
      <c r="G284" s="18">
        <v>3111</v>
      </c>
      <c r="H284" s="18"/>
      <c r="I284" s="18">
        <v>763</v>
      </c>
      <c r="J284" s="18"/>
      <c r="K284" s="18"/>
      <c r="L284" s="19">
        <f t="shared" si="12"/>
        <v>43689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f>546+6496</f>
        <v>7042</v>
      </c>
      <c r="I287" s="18">
        <v>303</v>
      </c>
      <c r="J287" s="18"/>
      <c r="K287" s="18"/>
      <c r="L287" s="19">
        <f t="shared" si="12"/>
        <v>7345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74002</v>
      </c>
      <c r="G290" s="42">
        <f t="shared" si="13"/>
        <v>7570</v>
      </c>
      <c r="H290" s="42">
        <f t="shared" si="13"/>
        <v>20941</v>
      </c>
      <c r="I290" s="42">
        <f t="shared" si="13"/>
        <v>11472</v>
      </c>
      <c r="J290" s="42">
        <f t="shared" si="13"/>
        <v>389</v>
      </c>
      <c r="K290" s="42">
        <f t="shared" si="13"/>
        <v>929</v>
      </c>
      <c r="L290" s="41">
        <f t="shared" si="13"/>
        <v>115303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74002</v>
      </c>
      <c r="G338" s="41">
        <f t="shared" si="20"/>
        <v>7570</v>
      </c>
      <c r="H338" s="41">
        <f t="shared" si="20"/>
        <v>20941</v>
      </c>
      <c r="I338" s="41">
        <f t="shared" si="20"/>
        <v>11472</v>
      </c>
      <c r="J338" s="41">
        <f t="shared" si="20"/>
        <v>389</v>
      </c>
      <c r="K338" s="41">
        <f t="shared" si="20"/>
        <v>929</v>
      </c>
      <c r="L338" s="41">
        <f t="shared" si="20"/>
        <v>115303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74002</v>
      </c>
      <c r="G352" s="41">
        <f>G338</f>
        <v>7570</v>
      </c>
      <c r="H352" s="41">
        <f>H338</f>
        <v>20941</v>
      </c>
      <c r="I352" s="41">
        <f>I338</f>
        <v>11472</v>
      </c>
      <c r="J352" s="41">
        <f>J338</f>
        <v>389</v>
      </c>
      <c r="K352" s="47">
        <f>K338+K351</f>
        <v>929</v>
      </c>
      <c r="L352" s="41">
        <f>L338+L351</f>
        <v>115303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55152+448</f>
        <v>55600</v>
      </c>
      <c r="I358" s="18">
        <v>71</v>
      </c>
      <c r="J358" s="18">
        <v>8245</v>
      </c>
      <c r="K358" s="18"/>
      <c r="L358" s="13">
        <f>SUM(F358:K358)</f>
        <v>63916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55600</v>
      </c>
      <c r="I362" s="47">
        <f t="shared" si="22"/>
        <v>71</v>
      </c>
      <c r="J362" s="47">
        <f t="shared" si="22"/>
        <v>8245</v>
      </c>
      <c r="K362" s="47">
        <f t="shared" si="22"/>
        <v>0</v>
      </c>
      <c r="L362" s="47">
        <f t="shared" si="22"/>
        <v>63916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71</v>
      </c>
      <c r="G368" s="63"/>
      <c r="H368" s="63"/>
      <c r="I368" s="56">
        <f>SUM(F368:H368)</f>
        <v>71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71</v>
      </c>
      <c r="G369" s="47">
        <f>SUM(G367:G368)</f>
        <v>0</v>
      </c>
      <c r="H369" s="47">
        <f>SUM(H367:H368)</f>
        <v>0</v>
      </c>
      <c r="I369" s="47">
        <f>SUM(I367:I368)</f>
        <v>71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10000</v>
      </c>
      <c r="H397" s="18"/>
      <c r="I397" s="18"/>
      <c r="J397" s="24" t="s">
        <v>288</v>
      </c>
      <c r="K397" s="24" t="s">
        <v>288</v>
      </c>
      <c r="L397" s="56">
        <f t="shared" si="26"/>
        <v>10000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5000</v>
      </c>
      <c r="H399" s="18"/>
      <c r="I399" s="18"/>
      <c r="J399" s="24" t="s">
        <v>288</v>
      </c>
      <c r="K399" s="24" t="s">
        <v>288</v>
      </c>
      <c r="L399" s="56">
        <f t="shared" si="26"/>
        <v>5000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15000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59179</v>
      </c>
      <c r="H440" s="18"/>
      <c r="I440" s="56">
        <f t="shared" si="33"/>
        <v>59179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59179</v>
      </c>
      <c r="H446" s="13">
        <f>SUM(H439:H445)</f>
        <v>0</v>
      </c>
      <c r="I446" s="13">
        <f>SUM(I439:I445)</f>
        <v>59179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59179</v>
      </c>
      <c r="H459" s="18"/>
      <c r="I459" s="56">
        <f t="shared" si="34"/>
        <v>59179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59179</v>
      </c>
      <c r="H460" s="83">
        <f>SUM(H454:H459)</f>
        <v>0</v>
      </c>
      <c r="I460" s="83">
        <f>SUM(I454:I459)</f>
        <v>59179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59179</v>
      </c>
      <c r="H461" s="42">
        <f>H452+H460</f>
        <v>0</v>
      </c>
      <c r="I461" s="42">
        <f>I452+I460</f>
        <v>59179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50443</v>
      </c>
      <c r="G465" s="18">
        <v>0</v>
      </c>
      <c r="H465" s="18">
        <v>0</v>
      </c>
      <c r="I465" s="18"/>
      <c r="J465" s="18">
        <v>44179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2120477</v>
      </c>
      <c r="G468" s="18">
        <v>63916</v>
      </c>
      <c r="H468" s="18">
        <v>115303</v>
      </c>
      <c r="I468" s="18"/>
      <c r="J468" s="18">
        <v>15000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2120477</v>
      </c>
      <c r="G470" s="53">
        <f>SUM(G468:G469)</f>
        <v>63916</v>
      </c>
      <c r="H470" s="53">
        <f>SUM(H468:H469)</f>
        <v>115303</v>
      </c>
      <c r="I470" s="53">
        <f>SUM(I468:I469)</f>
        <v>0</v>
      </c>
      <c r="J470" s="53">
        <f>SUM(J468:J469)</f>
        <v>15000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2025331</v>
      </c>
      <c r="G472" s="18">
        <v>63916</v>
      </c>
      <c r="H472" s="18">
        <v>115303</v>
      </c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2025331</v>
      </c>
      <c r="G474" s="53">
        <f>SUM(G472:G473)</f>
        <v>63916</v>
      </c>
      <c r="H474" s="53">
        <f>SUM(H472:H473)</f>
        <v>115303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145589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59179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112347</v>
      </c>
      <c r="G521" s="18">
        <v>51951</v>
      </c>
      <c r="H521" s="18">
        <f>23106</f>
        <v>23106</v>
      </c>
      <c r="I521" s="18">
        <v>1463</v>
      </c>
      <c r="J521" s="18">
        <v>1120</v>
      </c>
      <c r="K521" s="18">
        <v>125</v>
      </c>
      <c r="L521" s="88">
        <f>SUM(F521:K521)</f>
        <v>190112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21707</v>
      </c>
      <c r="I523" s="18"/>
      <c r="J523" s="18"/>
      <c r="K523" s="18"/>
      <c r="L523" s="88">
        <f>SUM(F523:K523)</f>
        <v>21707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112347</v>
      </c>
      <c r="G524" s="108">
        <f t="shared" ref="G524:L524" si="36">SUM(G521:G523)</f>
        <v>51951</v>
      </c>
      <c r="H524" s="108">
        <f t="shared" si="36"/>
        <v>44813</v>
      </c>
      <c r="I524" s="108">
        <f t="shared" si="36"/>
        <v>1463</v>
      </c>
      <c r="J524" s="108">
        <f t="shared" si="36"/>
        <v>1120</v>
      </c>
      <c r="K524" s="108">
        <f t="shared" si="36"/>
        <v>125</v>
      </c>
      <c r="L524" s="89">
        <f t="shared" si="36"/>
        <v>211819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61213</v>
      </c>
      <c r="I526" s="18"/>
      <c r="J526" s="18"/>
      <c r="K526" s="18"/>
      <c r="L526" s="88">
        <f>SUM(F526:K526)</f>
        <v>61213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61213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61213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14583</v>
      </c>
      <c r="I531" s="18"/>
      <c r="J531" s="18"/>
      <c r="K531" s="18"/>
      <c r="L531" s="88">
        <f>SUM(F531:K531)</f>
        <v>14583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5956</v>
      </c>
      <c r="I533" s="18"/>
      <c r="J533" s="18"/>
      <c r="K533" s="18"/>
      <c r="L533" s="88">
        <f>SUM(F533:K533)</f>
        <v>5956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20539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20539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347</v>
      </c>
      <c r="I541" s="18"/>
      <c r="J541" s="18"/>
      <c r="K541" s="18"/>
      <c r="L541" s="88">
        <f>SUM(F541:K541)</f>
        <v>347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918</v>
      </c>
      <c r="I543" s="18"/>
      <c r="J543" s="18"/>
      <c r="K543" s="18"/>
      <c r="L543" s="88">
        <f>SUM(F543:K543)</f>
        <v>918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1265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1265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112347</v>
      </c>
      <c r="G545" s="89">
        <f t="shared" ref="G545:L545" si="41">G524+G529+G534+G539+G544</f>
        <v>51951</v>
      </c>
      <c r="H545" s="89">
        <f t="shared" si="41"/>
        <v>127830</v>
      </c>
      <c r="I545" s="89">
        <f t="shared" si="41"/>
        <v>1463</v>
      </c>
      <c r="J545" s="89">
        <f t="shared" si="41"/>
        <v>1120</v>
      </c>
      <c r="K545" s="89">
        <f t="shared" si="41"/>
        <v>125</v>
      </c>
      <c r="L545" s="89">
        <f t="shared" si="41"/>
        <v>294836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190112</v>
      </c>
      <c r="G549" s="87">
        <f>L526</f>
        <v>61213</v>
      </c>
      <c r="H549" s="87">
        <f>L531</f>
        <v>14583</v>
      </c>
      <c r="I549" s="87">
        <f>L536</f>
        <v>0</v>
      </c>
      <c r="J549" s="87">
        <f>L541</f>
        <v>347</v>
      </c>
      <c r="K549" s="87">
        <f>SUM(F549:J549)</f>
        <v>266255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21707</v>
      </c>
      <c r="G551" s="87">
        <f>L528</f>
        <v>0</v>
      </c>
      <c r="H551" s="87">
        <f>L533</f>
        <v>5956</v>
      </c>
      <c r="I551" s="87">
        <f>L538</f>
        <v>0</v>
      </c>
      <c r="J551" s="87">
        <f>L543</f>
        <v>918</v>
      </c>
      <c r="K551" s="87">
        <f>SUM(F551:J551)</f>
        <v>28581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211819</v>
      </c>
      <c r="G552" s="89">
        <f t="shared" si="42"/>
        <v>61213</v>
      </c>
      <c r="H552" s="89">
        <f t="shared" si="42"/>
        <v>20539</v>
      </c>
      <c r="I552" s="89">
        <f t="shared" si="42"/>
        <v>0</v>
      </c>
      <c r="J552" s="89">
        <f t="shared" si="42"/>
        <v>1265</v>
      </c>
      <c r="K552" s="89">
        <f t="shared" si="42"/>
        <v>294836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350766</v>
      </c>
      <c r="I575" s="87">
        <f>SUM(F575:H575)</f>
        <v>350766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f>105960</f>
        <v>105960</v>
      </c>
      <c r="I576" s="87">
        <f t="shared" ref="I576:I587" si="47">SUM(F576:H576)</f>
        <v>105960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1716+23106</f>
        <v>24822</v>
      </c>
      <c r="G582" s="18"/>
      <c r="H582" s="18">
        <v>21450</v>
      </c>
      <c r="I582" s="87">
        <f t="shared" si="47"/>
        <v>46272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33362</v>
      </c>
      <c r="I585" s="87">
        <f t="shared" si="47"/>
        <v>33362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77760</f>
        <v>77760</v>
      </c>
      <c r="I591" s="18"/>
      <c r="J591" s="18">
        <f>25929-1</f>
        <v>25928</v>
      </c>
      <c r="K591" s="104">
        <f t="shared" ref="K591:K597" si="48">SUM(H591:J591)</f>
        <v>103688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347</v>
      </c>
      <c r="I592" s="18"/>
      <c r="J592" s="18">
        <v>918</v>
      </c>
      <c r="K592" s="104">
        <f t="shared" si="48"/>
        <v>1265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1453</v>
      </c>
      <c r="K593" s="104">
        <f t="shared" si="48"/>
        <v>1453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3493</v>
      </c>
      <c r="I595" s="18"/>
      <c r="J595" s="18"/>
      <c r="K595" s="104">
        <f t="shared" si="48"/>
        <v>3493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6790</v>
      </c>
      <c r="I597" s="18"/>
      <c r="J597" s="18"/>
      <c r="K597" s="104">
        <f t="shared" si="48"/>
        <v>6790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88390</v>
      </c>
      <c r="I598" s="108">
        <f>SUM(I591:I597)</f>
        <v>0</v>
      </c>
      <c r="J598" s="108">
        <f>SUM(J591:J597)</f>
        <v>28299</v>
      </c>
      <c r="K598" s="108">
        <f>SUM(K591:K597)</f>
        <v>116689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14360</v>
      </c>
      <c r="I604" s="18"/>
      <c r="J604" s="18"/>
      <c r="K604" s="104">
        <f>SUM(H604:J604)</f>
        <v>14360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14360</v>
      </c>
      <c r="I605" s="108">
        <f>SUM(I602:I604)</f>
        <v>0</v>
      </c>
      <c r="J605" s="108">
        <f>SUM(J602:J604)</f>
        <v>0</v>
      </c>
      <c r="K605" s="108">
        <f>SUM(K602:K604)</f>
        <v>14360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10316</v>
      </c>
      <c r="G611" s="18">
        <v>1480</v>
      </c>
      <c r="H611" s="18"/>
      <c r="I611" s="18">
        <v>554</v>
      </c>
      <c r="J611" s="18"/>
      <c r="K611" s="18"/>
      <c r="L611" s="88">
        <f>SUM(F611:K611)</f>
        <v>12350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10316</v>
      </c>
      <c r="G614" s="108">
        <f t="shared" si="49"/>
        <v>1480</v>
      </c>
      <c r="H614" s="108">
        <f t="shared" si="49"/>
        <v>0</v>
      </c>
      <c r="I614" s="108">
        <f t="shared" si="49"/>
        <v>554</v>
      </c>
      <c r="J614" s="108">
        <f t="shared" si="49"/>
        <v>0</v>
      </c>
      <c r="K614" s="108">
        <f t="shared" si="49"/>
        <v>0</v>
      </c>
      <c r="L614" s="89">
        <f t="shared" si="49"/>
        <v>12350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157051</v>
      </c>
      <c r="H617" s="109">
        <f>SUM(F52)</f>
        <v>157051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3779</v>
      </c>
      <c r="H618" s="109">
        <f>SUM(G52)</f>
        <v>3779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29422</v>
      </c>
      <c r="H619" s="109">
        <f>SUM(H52)</f>
        <v>29422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59179</v>
      </c>
      <c r="H621" s="109">
        <f>SUM(J52)</f>
        <v>59179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145589</v>
      </c>
      <c r="H622" s="109">
        <f>F476</f>
        <v>145589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59179</v>
      </c>
      <c r="H626" s="109">
        <f>J476</f>
        <v>59179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2120477</v>
      </c>
      <c r="H627" s="104">
        <f>SUM(F468)</f>
        <v>2120477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63916</v>
      </c>
      <c r="H628" s="104">
        <f>SUM(G468)</f>
        <v>63916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115303</v>
      </c>
      <c r="H629" s="104">
        <f>SUM(H468)</f>
        <v>115303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15000</v>
      </c>
      <c r="H631" s="104">
        <f>SUM(J468)</f>
        <v>15000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2025331</v>
      </c>
      <c r="H632" s="104">
        <f>SUM(F472)</f>
        <v>2025331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115303</v>
      </c>
      <c r="H633" s="104">
        <f>SUM(H472)</f>
        <v>115303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71</v>
      </c>
      <c r="H634" s="104">
        <f>I369</f>
        <v>71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63916</v>
      </c>
      <c r="H635" s="104">
        <f>SUM(G472)</f>
        <v>63916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15000</v>
      </c>
      <c r="H637" s="164">
        <f>SUM(J468)</f>
        <v>15000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59179</v>
      </c>
      <c r="H640" s="104">
        <f>SUM(G461)</f>
        <v>59179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59179</v>
      </c>
      <c r="H642" s="104">
        <f>SUM(I461)</f>
        <v>59179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15000</v>
      </c>
      <c r="H645" s="104">
        <f>G408</f>
        <v>15000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15000</v>
      </c>
      <c r="H646" s="104">
        <f>L408</f>
        <v>15000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116689</v>
      </c>
      <c r="H647" s="104">
        <f>L208+L226+L244</f>
        <v>116689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14360</v>
      </c>
      <c r="H648" s="104">
        <f>(J257+J338)-(J255+J336)</f>
        <v>14360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88390</v>
      </c>
      <c r="H649" s="104">
        <f>H598</f>
        <v>88390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28299</v>
      </c>
      <c r="H651" s="104">
        <f>J598</f>
        <v>28299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24407</v>
      </c>
      <c r="H652" s="104">
        <f>K263+K345</f>
        <v>24407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15000</v>
      </c>
      <c r="H655" s="104">
        <f>K266+K347</f>
        <v>15000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1594859</v>
      </c>
      <c r="G660" s="19">
        <f>(L229+L309+L359)</f>
        <v>0</v>
      </c>
      <c r="H660" s="19">
        <f>(L247+L328+L360)</f>
        <v>570284</v>
      </c>
      <c r="I660" s="19">
        <f>SUM(F660:H660)</f>
        <v>2165143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9052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9052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95735</v>
      </c>
      <c r="G662" s="19">
        <f>(L226+L306)-(J226+J306)</f>
        <v>0</v>
      </c>
      <c r="H662" s="19">
        <f>(L244+L325)-(J244+J325)</f>
        <v>28299</v>
      </c>
      <c r="I662" s="19">
        <f>SUM(F662:H662)</f>
        <v>124034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51532</v>
      </c>
      <c r="G663" s="199">
        <f>SUM(G575:G587)+SUM(I602:I604)+L612</f>
        <v>0</v>
      </c>
      <c r="H663" s="199">
        <f>SUM(H575:H587)+SUM(J602:J604)+L613</f>
        <v>511538</v>
      </c>
      <c r="I663" s="19">
        <f>SUM(F663:H663)</f>
        <v>563070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1438540</v>
      </c>
      <c r="G664" s="19">
        <f>G660-SUM(G661:G663)</f>
        <v>0</v>
      </c>
      <c r="H664" s="19">
        <f>H660-SUM(H661:H663)</f>
        <v>30447</v>
      </c>
      <c r="I664" s="19">
        <f>I660-SUM(I661:I663)</f>
        <v>1468987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72.790000000000006</v>
      </c>
      <c r="G665" s="248"/>
      <c r="H665" s="248"/>
      <c r="I665" s="19">
        <f>SUM(F665:H665)</f>
        <v>72.790000000000006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19762.88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20181.16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-30447</v>
      </c>
      <c r="I669" s="19">
        <f>SUM(F669:H669)</f>
        <v>-30447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19762.88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19762.88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Warren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443834</v>
      </c>
      <c r="C9" s="229">
        <f>'DOE25'!G197+'DOE25'!G215+'DOE25'!G233+'DOE25'!G276+'DOE25'!G295+'DOE25'!G314</f>
        <v>181629</v>
      </c>
    </row>
    <row r="10" spans="1:3" x14ac:dyDescent="0.2">
      <c r="A10" t="s">
        <v>778</v>
      </c>
      <c r="B10" s="240">
        <v>436740</v>
      </c>
      <c r="C10" s="240">
        <f>181629-C11-C12</f>
        <v>181086.30900000001</v>
      </c>
    </row>
    <row r="11" spans="1:3" x14ac:dyDescent="0.2">
      <c r="A11" t="s">
        <v>779</v>
      </c>
      <c r="B11" s="240">
        <v>2216</v>
      </c>
      <c r="C11" s="240">
        <f>+B11*7.65%</f>
        <v>169.524</v>
      </c>
    </row>
    <row r="12" spans="1:3" x14ac:dyDescent="0.2">
      <c r="A12" t="s">
        <v>780</v>
      </c>
      <c r="B12" s="240">
        <v>4878</v>
      </c>
      <c r="C12" s="240">
        <f>+B12*7.65%</f>
        <v>373.16699999999997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443834</v>
      </c>
      <c r="C13" s="231">
        <f>SUM(C10:C12)</f>
        <v>181629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129001</v>
      </c>
      <c r="C18" s="229">
        <f>'DOE25'!G198+'DOE25'!G216+'DOE25'!G234+'DOE25'!G277+'DOE25'!G296+'DOE25'!G315</f>
        <v>55137</v>
      </c>
    </row>
    <row r="19" spans="1:3" x14ac:dyDescent="0.2">
      <c r="A19" t="s">
        <v>778</v>
      </c>
      <c r="B19" s="240">
        <v>39287</v>
      </c>
      <c r="C19" s="240">
        <f>+((B19/(B19+B20))*55137-C21)+87.59</f>
        <v>16942.242202164936</v>
      </c>
    </row>
    <row r="20" spans="1:3" x14ac:dyDescent="0.2">
      <c r="A20" t="s">
        <v>779</v>
      </c>
      <c r="B20" s="240">
        <v>88569</v>
      </c>
      <c r="C20" s="240">
        <f>+((B20/(B20+B19))*55137-C21)</f>
        <v>38107.167797835071</v>
      </c>
    </row>
    <row r="21" spans="1:3" x14ac:dyDescent="0.2">
      <c r="A21" t="s">
        <v>780</v>
      </c>
      <c r="B21" s="240">
        <v>1145</v>
      </c>
      <c r="C21" s="240">
        <v>87.59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129001</v>
      </c>
      <c r="C22" s="231">
        <f>SUM(C19:C21)</f>
        <v>55137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22083</v>
      </c>
      <c r="C36" s="235">
        <f>'DOE25'!G200+'DOE25'!G218+'DOE25'!G236+'DOE25'!G279+'DOE25'!G298+'DOE25'!G317</f>
        <v>3162</v>
      </c>
    </row>
    <row r="37" spans="1:3" x14ac:dyDescent="0.2">
      <c r="A37" t="s">
        <v>778</v>
      </c>
      <c r="B37" s="240">
        <v>12987</v>
      </c>
      <c r="C37" s="240">
        <v>1995.16</v>
      </c>
    </row>
    <row r="38" spans="1:3" x14ac:dyDescent="0.2">
      <c r="A38" t="s">
        <v>779</v>
      </c>
      <c r="B38" s="240">
        <f>5546+225</f>
        <v>5771</v>
      </c>
      <c r="C38" s="240">
        <v>912.48</v>
      </c>
    </row>
    <row r="39" spans="1:3" x14ac:dyDescent="0.2">
      <c r="A39" t="s">
        <v>780</v>
      </c>
      <c r="B39" s="240">
        <v>3325</v>
      </c>
      <c r="C39" s="240">
        <v>254.36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22083</v>
      </c>
      <c r="C40" s="231">
        <f>SUM(C37:C39)</f>
        <v>3162.0000000000005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23" sqref="D2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Warren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1402531</v>
      </c>
      <c r="D5" s="20">
        <f>SUM('DOE25'!L197:L200)+SUM('DOE25'!L215:L218)+SUM('DOE25'!L233:L236)-F5-G5</f>
        <v>1397677</v>
      </c>
      <c r="E5" s="243"/>
      <c r="F5" s="255">
        <f>SUM('DOE25'!J197:J200)+SUM('DOE25'!J215:J218)+SUM('DOE25'!J233:J236)</f>
        <v>4335</v>
      </c>
      <c r="G5" s="53">
        <f>SUM('DOE25'!K197:K200)+SUM('DOE25'!K215:K218)+SUM('DOE25'!K233:K236)</f>
        <v>519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136785</v>
      </c>
      <c r="D6" s="20">
        <f>'DOE25'!L202+'DOE25'!L220+'DOE25'!L238-F6-G6</f>
        <v>133510</v>
      </c>
      <c r="E6" s="243"/>
      <c r="F6" s="255">
        <f>'DOE25'!J202+'DOE25'!J220+'DOE25'!J238</f>
        <v>114</v>
      </c>
      <c r="G6" s="53">
        <f>'DOE25'!K202+'DOE25'!K220+'DOE25'!K238</f>
        <v>3161</v>
      </c>
      <c r="H6" s="259"/>
    </row>
    <row r="7" spans="1:9" x14ac:dyDescent="0.2">
      <c r="A7" s="32">
        <v>2200</v>
      </c>
      <c r="B7" t="s">
        <v>833</v>
      </c>
      <c r="C7" s="245">
        <f t="shared" si="0"/>
        <v>25190</v>
      </c>
      <c r="D7" s="20">
        <f>'DOE25'!L203+'DOE25'!L221+'DOE25'!L239-F7-G7</f>
        <v>17210</v>
      </c>
      <c r="E7" s="243"/>
      <c r="F7" s="255">
        <f>'DOE25'!J203+'DOE25'!J221+'DOE25'!J239</f>
        <v>7980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77691</v>
      </c>
      <c r="D8" s="243"/>
      <c r="E8" s="20">
        <f>'DOE25'!L204+'DOE25'!L222+'DOE25'!L240-F8-G8-D9-D11</f>
        <v>76416</v>
      </c>
      <c r="F8" s="255">
        <f>'DOE25'!J204+'DOE25'!J222+'DOE25'!J240</f>
        <v>0</v>
      </c>
      <c r="G8" s="53">
        <f>'DOE25'!K204+'DOE25'!K222+'DOE25'!K240</f>
        <v>1275</v>
      </c>
      <c r="H8" s="259"/>
    </row>
    <row r="9" spans="1:9" x14ac:dyDescent="0.2">
      <c r="A9" s="32">
        <v>2310</v>
      </c>
      <c r="B9" t="s">
        <v>817</v>
      </c>
      <c r="C9" s="245">
        <f t="shared" si="0"/>
        <v>5053</v>
      </c>
      <c r="D9" s="244">
        <v>5053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7312</v>
      </c>
      <c r="D10" s="243"/>
      <c r="E10" s="244">
        <v>7312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20632</v>
      </c>
      <c r="D11" s="244">
        <v>20632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119549</v>
      </c>
      <c r="D12" s="20">
        <f>'DOE25'!L205+'DOE25'!L223+'DOE25'!L241-F12-G12</f>
        <v>118752</v>
      </c>
      <c r="E12" s="243"/>
      <c r="F12" s="255">
        <f>'DOE25'!J205+'DOE25'!J223+'DOE25'!J241</f>
        <v>163</v>
      </c>
      <c r="G12" s="53">
        <f>'DOE25'!K205+'DOE25'!K223+'DOE25'!K241</f>
        <v>634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79276</v>
      </c>
      <c r="D14" s="20">
        <f>'DOE25'!L207+'DOE25'!L225+'DOE25'!L243-F14-G14</f>
        <v>77897</v>
      </c>
      <c r="E14" s="243"/>
      <c r="F14" s="255">
        <f>'DOE25'!J207+'DOE25'!J225+'DOE25'!J243</f>
        <v>1379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116689</v>
      </c>
      <c r="D15" s="20">
        <f>'DOE25'!L208+'DOE25'!L226+'DOE25'!L244-F15-G15</f>
        <v>116689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2528</v>
      </c>
      <c r="D16" s="243"/>
      <c r="E16" s="20">
        <f>'DOE25'!L209+'DOE25'!L227+'DOE25'!L245-F16-G16</f>
        <v>2528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63916</v>
      </c>
      <c r="D29" s="20">
        <f>'DOE25'!L358+'DOE25'!L359+'DOE25'!L360-'DOE25'!I367-F29-G29</f>
        <v>55671</v>
      </c>
      <c r="E29" s="243"/>
      <c r="F29" s="255">
        <f>'DOE25'!J358+'DOE25'!J359+'DOE25'!J360</f>
        <v>8245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115303</v>
      </c>
      <c r="D31" s="20">
        <f>'DOE25'!L290+'DOE25'!L309+'DOE25'!L328+'DOE25'!L333+'DOE25'!L334+'DOE25'!L335-F31-G31</f>
        <v>113985</v>
      </c>
      <c r="E31" s="243"/>
      <c r="F31" s="255">
        <f>'DOE25'!J290+'DOE25'!J309+'DOE25'!J328+'DOE25'!J333+'DOE25'!J334+'DOE25'!J335</f>
        <v>389</v>
      </c>
      <c r="G31" s="53">
        <f>'DOE25'!K290+'DOE25'!K309+'DOE25'!K328+'DOE25'!K333+'DOE25'!K334+'DOE25'!K335</f>
        <v>929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2057076</v>
      </c>
      <c r="E33" s="246">
        <f>SUM(E5:E31)</f>
        <v>86256</v>
      </c>
      <c r="F33" s="246">
        <f>SUM(F5:F31)</f>
        <v>22605</v>
      </c>
      <c r="G33" s="246">
        <f>SUM(G5:G31)</f>
        <v>6518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86256</v>
      </c>
      <c r="E35" s="249"/>
    </row>
    <row r="36" spans="2:8" ht="12" thickTop="1" x14ac:dyDescent="0.2">
      <c r="B36" t="s">
        <v>814</v>
      </c>
      <c r="D36" s="20">
        <f>D33</f>
        <v>2057076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21" sqref="A2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Warren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149812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59179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4551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3597</v>
      </c>
      <c r="D12" s="95">
        <f>'DOE25'!G13</f>
        <v>3779</v>
      </c>
      <c r="E12" s="95">
        <f>'DOE25'!H13</f>
        <v>24871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2260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1382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157051</v>
      </c>
      <c r="D18" s="41">
        <f>SUM(D8:D17)</f>
        <v>3779</v>
      </c>
      <c r="E18" s="41">
        <f>SUM(E8:E17)</f>
        <v>29422</v>
      </c>
      <c r="F18" s="41">
        <f>SUM(F8:F17)</f>
        <v>0</v>
      </c>
      <c r="G18" s="41">
        <f>SUM(G8:G17)</f>
        <v>59179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829</v>
      </c>
      <c r="D21" s="95">
        <f>'DOE25'!G22</f>
        <v>3722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10342</v>
      </c>
      <c r="D23" s="95">
        <f>'DOE25'!G24</f>
        <v>57</v>
      </c>
      <c r="E23" s="95">
        <f>'DOE25'!H24</f>
        <v>725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291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28697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11462</v>
      </c>
      <c r="D31" s="41">
        <f>SUM(D21:D30)</f>
        <v>3779</v>
      </c>
      <c r="E31" s="41">
        <f>SUM(E21:E30)</f>
        <v>29422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1382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59179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129207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145589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59179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157051</v>
      </c>
      <c r="D51" s="41">
        <f>D50+D31</f>
        <v>3779</v>
      </c>
      <c r="E51" s="41">
        <f>E50+E31</f>
        <v>29422</v>
      </c>
      <c r="F51" s="41">
        <f>F50+F31</f>
        <v>0</v>
      </c>
      <c r="G51" s="41">
        <f>G50+G31</f>
        <v>59179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1191237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9052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2171</v>
      </c>
      <c r="D61" s="95">
        <f>SUM('DOE25'!G98:G110)</f>
        <v>0</v>
      </c>
      <c r="E61" s="95">
        <f>SUM('DOE25'!H98:H110)</f>
        <v>15423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2637</v>
      </c>
      <c r="D62" s="130">
        <f>SUM(D57:D61)</f>
        <v>9052</v>
      </c>
      <c r="E62" s="130">
        <f>SUM(E57:E61)</f>
        <v>15423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1193874</v>
      </c>
      <c r="D63" s="22">
        <f>D56+D62</f>
        <v>9052</v>
      </c>
      <c r="E63" s="22">
        <f>E56+E62</f>
        <v>15423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738372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144837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766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883975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8096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8096</v>
      </c>
      <c r="D78" s="130">
        <f>SUM(D72:D77)</f>
        <v>656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892071</v>
      </c>
      <c r="D81" s="130">
        <f>SUM(D79:D80)+D78+D70</f>
        <v>656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26022</v>
      </c>
      <c r="D88" s="95">
        <f>SUM('DOE25'!G153:G161)</f>
        <v>29801</v>
      </c>
      <c r="E88" s="95">
        <f>SUM('DOE25'!H153:H161)</f>
        <v>99880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8510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34532</v>
      </c>
      <c r="D91" s="131">
        <f>SUM(D85:D90)</f>
        <v>29801</v>
      </c>
      <c r="E91" s="131">
        <f>SUM(E85:E90)</f>
        <v>99880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24407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24407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764</v>
      </c>
      <c r="C104" s="86">
        <f>C63+C81+C91+C103</f>
        <v>2120477</v>
      </c>
      <c r="D104" s="86">
        <f>D63+D81+D91+D103</f>
        <v>63916</v>
      </c>
      <c r="E104" s="86">
        <f>E63+E81+E91+E103</f>
        <v>115303</v>
      </c>
      <c r="F104" s="86">
        <f>F63+F81+F91+F103</f>
        <v>0</v>
      </c>
      <c r="G104" s="86">
        <f>G63+G81+G103</f>
        <v>15000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1122187</v>
      </c>
      <c r="D109" s="24" t="s">
        <v>288</v>
      </c>
      <c r="E109" s="95">
        <f>('DOE25'!L276)+('DOE25'!L295)+('DOE25'!L314)</f>
        <v>22384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236399</v>
      </c>
      <c r="D110" s="24" t="s">
        <v>288</v>
      </c>
      <c r="E110" s="95">
        <f>('DOE25'!L277)+('DOE25'!L296)+('DOE25'!L315)</f>
        <v>475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33362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10583</v>
      </c>
      <c r="D112" s="24" t="s">
        <v>288</v>
      </c>
      <c r="E112" s="95">
        <f>+('DOE25'!L279)+('DOE25'!L298)+('DOE25'!L317)</f>
        <v>21762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1402531</v>
      </c>
      <c r="D115" s="86">
        <f>SUM(D109:D114)</f>
        <v>0</v>
      </c>
      <c r="E115" s="86">
        <f>SUM(E109:E114)</f>
        <v>44621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136785</v>
      </c>
      <c r="D118" s="24" t="s">
        <v>288</v>
      </c>
      <c r="E118" s="95">
        <f>+('DOE25'!L281)+('DOE25'!L300)+('DOE25'!L319)</f>
        <v>9007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25190</v>
      </c>
      <c r="D119" s="24" t="s">
        <v>288</v>
      </c>
      <c r="E119" s="95">
        <f>+('DOE25'!L282)+('DOE25'!L301)+('DOE25'!L320)</f>
        <v>9712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103376</v>
      </c>
      <c r="D120" s="24" t="s">
        <v>288</v>
      </c>
      <c r="E120" s="95">
        <f>+('DOE25'!L283)+('DOE25'!L302)+('DOE25'!L321)</f>
        <v>929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119549</v>
      </c>
      <c r="D121" s="24" t="s">
        <v>288</v>
      </c>
      <c r="E121" s="95">
        <f>+('DOE25'!L284)+('DOE25'!L303)+('DOE25'!L322)</f>
        <v>43689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79276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116689</v>
      </c>
      <c r="D124" s="24" t="s">
        <v>288</v>
      </c>
      <c r="E124" s="95">
        <f>+('DOE25'!L287)+('DOE25'!L306)+('DOE25'!L325)</f>
        <v>7345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2528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63916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583393</v>
      </c>
      <c r="D128" s="86">
        <f>SUM(D118:D127)</f>
        <v>63916</v>
      </c>
      <c r="E128" s="86">
        <f>SUM(E118:E127)</f>
        <v>70682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24407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15000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39407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2025331</v>
      </c>
      <c r="D145" s="86">
        <f>(D115+D128+D144)</f>
        <v>63916</v>
      </c>
      <c r="E145" s="86">
        <f>(E115+E128+E144)</f>
        <v>115303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3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Warren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19763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19763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1144571</v>
      </c>
      <c r="D10" s="182">
        <f>ROUND((C10/$C$28)*100,1)</f>
        <v>53.1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236874</v>
      </c>
      <c r="D11" s="182">
        <f>ROUND((C11/$C$28)*100,1)</f>
        <v>11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33362</v>
      </c>
      <c r="D12" s="182">
        <f>ROUND((C12/$C$28)*100,1)</f>
        <v>1.5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32345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145792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34902</v>
      </c>
      <c r="D16" s="182">
        <f t="shared" si="0"/>
        <v>1.6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106833</v>
      </c>
      <c r="D17" s="182">
        <f t="shared" si="0"/>
        <v>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163238</v>
      </c>
      <c r="D18" s="182">
        <f t="shared" si="0"/>
        <v>7.6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79276</v>
      </c>
      <c r="D20" s="182">
        <f t="shared" si="0"/>
        <v>3.7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124034</v>
      </c>
      <c r="D21" s="182">
        <f t="shared" si="0"/>
        <v>5.8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54864</v>
      </c>
      <c r="D27" s="182">
        <f t="shared" si="0"/>
        <v>2.5</v>
      </c>
    </row>
    <row r="28" spans="1:4" x14ac:dyDescent="0.2">
      <c r="B28" s="187" t="s">
        <v>722</v>
      </c>
      <c r="C28" s="180">
        <f>SUM(C10:C27)</f>
        <v>2156091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2156091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1191237</v>
      </c>
      <c r="D35" s="182">
        <f t="shared" ref="D35:D40" si="1">ROUND((C35/$C$41)*100,1)</f>
        <v>52.6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18060</v>
      </c>
      <c r="D36" s="182">
        <f t="shared" si="1"/>
        <v>0.8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883209</v>
      </c>
      <c r="D37" s="182">
        <f t="shared" si="1"/>
        <v>39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9518</v>
      </c>
      <c r="D38" s="182">
        <f t="shared" si="1"/>
        <v>0.4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164213</v>
      </c>
      <c r="D39" s="182">
        <f t="shared" si="1"/>
        <v>7.2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2266237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Warren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2017-08-28T12:22:03Z</cp:lastPrinted>
  <dcterms:created xsi:type="dcterms:W3CDTF">1997-12-04T19:04:30Z</dcterms:created>
  <dcterms:modified xsi:type="dcterms:W3CDTF">2017-11-29T18:08:03Z</dcterms:modified>
</cp:coreProperties>
</file>