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I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H661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I257" i="1"/>
  <c r="I271" i="1" s="1"/>
  <c r="G164" i="2"/>
  <c r="C26" i="10"/>
  <c r="L328" i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K550" i="1"/>
  <c r="G22" i="2"/>
  <c r="K598" i="1"/>
  <c r="G647" i="1" s="1"/>
  <c r="J647" i="1" s="1"/>
  <c r="K545" i="1"/>
  <c r="H552" i="1"/>
  <c r="C29" i="10"/>
  <c r="H140" i="1"/>
  <c r="L401" i="1"/>
  <c r="C139" i="2" s="1"/>
  <c r="L393" i="1"/>
  <c r="F22" i="13"/>
  <c r="C22" i="13" s="1"/>
  <c r="J651" i="1"/>
  <c r="J640" i="1"/>
  <c r="H571" i="1"/>
  <c r="L560" i="1"/>
  <c r="J545" i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J636" i="1"/>
  <c r="G36" i="2"/>
  <c r="L565" i="1"/>
  <c r="G545" i="1"/>
  <c r="K551" i="1"/>
  <c r="C138" i="2"/>
  <c r="C16" i="13"/>
  <c r="A13" i="12" l="1"/>
  <c r="J649" i="1"/>
  <c r="K549" i="1"/>
  <c r="K552" i="1" s="1"/>
  <c r="H545" i="1"/>
  <c r="L545" i="1"/>
  <c r="K500" i="1"/>
  <c r="F476" i="1"/>
  <c r="H622" i="1" s="1"/>
  <c r="J622" i="1" s="1"/>
  <c r="J634" i="1"/>
  <c r="L362" i="1"/>
  <c r="C27" i="10" s="1"/>
  <c r="D145" i="2"/>
  <c r="J338" i="1"/>
  <c r="J352" i="1" s="1"/>
  <c r="H338" i="1"/>
  <c r="H352" i="1" s="1"/>
  <c r="K338" i="1"/>
  <c r="K352" i="1" s="1"/>
  <c r="C17" i="10"/>
  <c r="H25" i="13"/>
  <c r="H33" i="13" s="1"/>
  <c r="C25" i="13"/>
  <c r="C32" i="10"/>
  <c r="C131" i="2"/>
  <c r="K271" i="1"/>
  <c r="H257" i="1"/>
  <c r="H271" i="1" s="1"/>
  <c r="H660" i="1"/>
  <c r="H664" i="1" s="1"/>
  <c r="H672" i="1" s="1"/>
  <c r="C6" i="10" s="1"/>
  <c r="C10" i="10"/>
  <c r="C121" i="2"/>
  <c r="C120" i="2"/>
  <c r="C128" i="2" s="1"/>
  <c r="E33" i="13"/>
  <c r="D35" i="13" s="1"/>
  <c r="C109" i="2"/>
  <c r="C115" i="2" s="1"/>
  <c r="L211" i="1"/>
  <c r="L257" i="1" s="1"/>
  <c r="L271" i="1" s="1"/>
  <c r="G632" i="1" s="1"/>
  <c r="J632" i="1" s="1"/>
  <c r="C81" i="2"/>
  <c r="C62" i="2"/>
  <c r="C63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I663" i="1"/>
  <c r="G635" i="1"/>
  <c r="J635" i="1" s="1"/>
  <c r="H667" i="1" l="1"/>
  <c r="H648" i="1"/>
  <c r="J648" i="1" s="1"/>
  <c r="C28" i="10"/>
  <c r="D23" i="10" s="1"/>
  <c r="D31" i="13"/>
  <c r="C31" i="13" s="1"/>
  <c r="F33" i="13"/>
  <c r="F660" i="1"/>
  <c r="F664" i="1" s="1"/>
  <c r="F672" i="1" s="1"/>
  <c r="C4" i="10" s="1"/>
  <c r="C145" i="2"/>
  <c r="C104" i="2"/>
  <c r="G672" i="1"/>
  <c r="C5" i="10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20" i="10" l="1"/>
  <c r="D13" i="10"/>
  <c r="D25" i="10"/>
  <c r="D21" i="10"/>
  <c r="D15" i="10"/>
  <c r="D19" i="10"/>
  <c r="D11" i="10"/>
  <c r="D22" i="10"/>
  <c r="D27" i="10"/>
  <c r="D18" i="10"/>
  <c r="D17" i="10"/>
  <c r="D12" i="10"/>
  <c r="D24" i="10"/>
  <c r="D10" i="10"/>
  <c r="D26" i="10"/>
  <c r="C30" i="10"/>
  <c r="D16" i="10"/>
  <c r="D33" i="13"/>
  <c r="D36" i="13" s="1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<sst xmlns="http://schemas.openxmlformats.org/spreadsheetml/2006/main" count="3957" uniqueCount="915">
  <si>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</si>
  <si>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</si>
  <si>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</si>
  <si>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</si>
  <si>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</si>
  <si>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</si>
  <si>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</si>
  <si>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</si>
  <si>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</si>
  <si>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</si>
  <si>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</si>
  <si>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</si>
  <si>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</si>
  <si>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</si>
  <si>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</si>
  <si>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</si>
  <si>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</si>
  <si>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</si>
  <si>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</si>
  <si>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</si>
  <si>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</si>
  <si>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</si>
  <si>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</si>
  <si>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</si>
  <si>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</si>
  <si>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</si>
  <si>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</si>
  <si>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</si>
  <si>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</si>
  <si>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</si>
  <si>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</si>
  <si>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</si>
  <si>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</si>
  <si>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</si>
  <si>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</si>
  <si>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</si>
  <si>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</si>
  <si>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</si>
  <si>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</si>
  <si>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</si>
  <si>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</si>
  <si>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</si>
  <si>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</si>
  <si>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</si>
  <si>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</si>
  <si>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</si>
  <si>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</si>
  <si>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</si>
  <si>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</si>
  <si>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</si>
  <si>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</si>
  <si>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</si>
  <si>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</si>
  <si>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</si>
  <si>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</si>
  <si>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</si>
  <si>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</si>
  <si>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</si>
  <si>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</si>
  <si>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</si>
  <si>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</si>
  <si>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</si>
  <si>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</si>
  <si>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</si>
  <si>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</si>
  <si>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</si>
  <si>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</si>
  <si>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</si>
  <si>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</si>
  <si>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</si>
  <si>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</si>
  <si>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</si>
  <si>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</si>
  <si>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</si>
  <si>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</si>
  <si>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</si>
  <si>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</si>
  <si>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</si>
  <si>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</si>
  <si>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</si>
  <si>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</si>
  <si>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</si>
  <si>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</si>
  <si>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</si>
  <si>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</si>
  <si>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</si>
  <si>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</si>
  <si>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</si>
  <si>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</si>
  <si>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</si>
  <si>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</si>
  <si>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</si>
  <si>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</si>
  <si>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</si>
  <si>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</si>
  <si>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</si>
  <si>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</si>
  <si>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</si>
  <si>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</si>
  <si>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</si>
  <si>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</si>
  <si>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</si>
  <si>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</si>
  <si>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</si>
  <si>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</si>
  <si>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</si>
  <si>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</si>
  <si>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</si>
  <si>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</si>
  <si>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</si>
  <si>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</si>
  <si>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</si>
  <si>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</si>
  <si>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</si>
  <si>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</si>
  <si>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</si>
  <si>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</si>
  <si>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</si>
  <si>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</si>
  <si>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</si>
  <si>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</si>
  <si>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</si>
  <si>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</si>
  <si>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</si>
  <si>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</si>
  <si>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</si>
  <si>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</si>
  <si>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</si>
  <si>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</si>
  <si>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</si>
  <si>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</si>
  <si>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</si>
  <si>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</si>
  <si>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</si>
  <si>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</si>
  <si>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</si>
  <si>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</si>
  <si>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</si>
  <si>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</si>
  <si>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</si>
  <si>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</si>
  <si>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</si>
  <si>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</si>
  <si>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</si>
  <si>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</si>
  <si>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</si>
  <si>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</si>
  <si>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</si>
  <si>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</si>
  <si>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</si>
  <si>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</si>
  <si>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</si>
  <si>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</si>
  <si>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</si>
  <si>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</si>
  <si>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</si>
  <si>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</si>
  <si>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</si>
  <si>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</si>
  <si>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</si>
  <si>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</si>
  <si>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</si>
  <si>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</si>
  <si>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</si>
  <si>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</si>
  <si>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</si>
  <si>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</si>
  <si>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</si>
  <si>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</si>
  <si>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</si>
  <si>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</si>
  <si>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</si>
  <si>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</si>
  <si>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</si>
  <si>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</si>
  <si>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</si>
  <si>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</si>
  <si>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</si>
  <si>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</si>
  <si>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</si>
  <si>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</si>
  <si>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</si>
  <si>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</si>
  <si>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</si>
  <si>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</si>
  <si>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</si>
  <si>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</si>
  <si>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</si>
  <si>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</si>
  <si>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</si>
  <si>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</si>
  <si>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</si>
  <si>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</si>
  <si>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</si>
  <si>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</si>
  <si>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</si>
  <si>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</si>
  <si>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</si>
  <si>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</si>
  <si>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</si>
  <si>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</si>
  <si>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</si>
  <si>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</si>
  <si>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</si>
  <si>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</si>
  <si>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</si>
  <si>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</si>
  <si>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</si>
  <si>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</si>
  <si>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</si>
  <si>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</si>
  <si>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</si>
  <si>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</si>
  <si>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</si>
  <si>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</si>
  <si>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</si>
  <si>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</si>
  <si>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</si>
  <si>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</si>
  <si>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</si>
  <si>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</si>
  <si>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</si>
  <si>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</si>
  <si>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</si>
  <si>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</si>
  <si>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</si>
  <si>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</si>
  <si>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</si>
  <si>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</si>
  <si>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</si>
  <si>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</si>
  <si>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</si>
  <si>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</si>
  <si>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</si>
  <si>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</si>
  <si>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</si>
  <si>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</si>
  <si>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</si>
  <si>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</si>
  <si>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</si>
  <si>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</si>
  <si>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</si>
  <si>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</si>
  <si>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</si>
  <si>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</si>
  <si>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</si>
  <si>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</si>
  <si>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</si>
  <si>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</si>
  <si>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</si>
  <si>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</si>
  <si>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</si>
  <si>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</si>
  <si>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</si>
  <si>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</si>
  <si>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</si>
  <si>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</si>
  <si>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</si>
  <si>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</si>
  <si>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</si>
  <si>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</si>
  <si>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</si>
  <si>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</si>
  <si>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</si>
  <si>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</si>
  <si>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</si>
  <si>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</si>
  <si>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</si>
  <si>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</si>
  <si>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</si>
  <si>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</si>
  <si>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</si>
  <si>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</si>
  <si>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</si>
  <si>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</si>
  <si>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</si>
  <si>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</si>
  <si>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</si>
  <si>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</si>
  <si>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</si>
  <si>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</si>
  <si>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</si>
  <si>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</si>
  <si>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</si>
  <si>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</si>
  <si>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</si>
  <si>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</si>
  <si>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</si>
  <si>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</si>
  <si>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</si>
  <si>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</si>
  <si>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</si>
  <si>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</si>
  <si>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</si>
  <si>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</si>
  <si>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</si>
  <si>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</si>
  <si>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</si>
  <si>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</si>
  <si>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</si>
  <si>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</si>
  <si>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</si>
  <si>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</si>
  <si>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</si>
  <si>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</si>
  <si>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</si>
  <si>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</si>
  <si>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</si>
  <si>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</si>
  <si>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</si>
  <si>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</si>
  <si>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</si>
  <si>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</si>
  <si>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</si>
  <si>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</si>
  <si>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</si>
  <si>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</si>
  <si>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</si>
  <si>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</si>
  <si>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</si>
  <si>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</si>
  <si>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</si>
  <si>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</si>
  <si>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</si>
  <si>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</si>
  <si>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</si>
  <si>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</si>
  <si>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</si>
  <si>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</si>
  <si>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</si>
  <si>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</si>
  <si>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</si>
  <si>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</si>
  <si>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</si>
  <si>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</si>
  <si>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</si>
  <si>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</si>
  <si>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</si>
  <si>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</si>
  <si>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</si>
  <si>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</si>
  <si>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</si>
  <si>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</si>
  <si>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</si>
  <si>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</si>
  <si>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</si>
  <si>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</si>
  <si>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</si>
  <si>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</si>
  <si>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</si>
  <si>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</si>
  <si>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</si>
  <si>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</si>
  <si>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</si>
  <si>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</si>
  <si>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</si>
  <si>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</si>
  <si>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</si>
  <si>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</si>
  <si>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</si>
  <si>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</si>
  <si>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</si>
  <si>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</si>
  <si>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</si>
  <si>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</si>
  <si>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</si>
  <si>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</si>
  <si>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</si>
  <si>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</si>
  <si>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</si>
  <si>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</si>
  <si>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</si>
  <si>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</si>
  <si>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</si>
  <si>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</si>
  <si>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</si>
  <si>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</si>
  <si>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</si>
  <si>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</si>
  <si>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</si>
  <si>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</si>
  <si>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</si>
  <si>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</si>
  <si>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</si>
  <si>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</si>
  <si>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</si>
  <si>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</si>
  <si>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</si>
  <si>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</si>
  <si>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</si>
  <si>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</si>
  <si>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</si>
  <si>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</si>
  <si>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</si>
  <si>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</si>
  <si>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</si>
  <si>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</si>
  <si>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</si>
  <si>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</si>
  <si>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</si>
  <si>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</si>
  <si>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</si>
  <si>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</si>
  <si>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</si>
  <si>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</si>
  <si>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</si>
  <si>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</si>
  <si>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</si>
  <si>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</si>
  <si>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</si>
  <si>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</si>
  <si>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</si>
  <si>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</si>
  <si>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</si>
  <si>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</si>
  <si>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</si>
  <si>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</si>
  <si>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</si>
  <si>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</si>
  <si>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</si>
  <si>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</si>
  <si>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</si>
  <si>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</si>
  <si>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</si>
  <si>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</si>
  <si>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</si>
  <si>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</si>
  <si>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</si>
  <si>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</si>
  <si>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</si>
  <si>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</si>
  <si>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</si>
  <si>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</si>
  <si>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</si>
  <si>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</si>
  <si>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</si>
  <si>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</si>
  <si>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</si>
  <si>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</si>
  <si>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</si>
  <si>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</si>
  <si>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</si>
  <si>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</si>
  <si>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</si>
  <si>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</si>
  <si>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</si>
  <si>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</si>
  <si>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</si>
  <si>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</si>
  <si>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</si>
  <si>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</si>
  <si>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</si>
  <si>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</si>
  <si>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</si>
  <si>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</si>
  <si>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</si>
  <si>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</si>
  <si>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</si>
  <si>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</si>
  <si>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</si>
  <si>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</si>
  <si>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</si>
  <si>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</si>
  <si>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</si>
  <si>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</si>
  <si>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</si>
  <si>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</si>
  <si>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</si>
  <si>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</si>
  <si>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</si>
  <si>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</si>
  <si>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</si>
  <si>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</si>
  <si>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</si>
  <si>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</si>
  <si>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</si>
  <si>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</si>
  <si>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</si>
  <si>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</si>
  <si>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</si>
  <si>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</si>
  <si>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</si>
  <si>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</si>
  <si>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</si>
  <si>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</si>
  <si>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</si>
  <si>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</si>
  <si>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</si>
  <si>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</si>
  <si>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</si>
  <si>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</si>
  <si>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</si>
  <si>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</si>
  <si>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</si>
  <si>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</si>
  <si>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</si>
  <si>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</si>
  <si>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</si>
  <si>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</si>
  <si>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</si>
  <si>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</si>
  <si>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</si>
  <si>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</si>
  <si>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</si>
  <si>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</si>
  <si>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</si>
  <si>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</si>
  <si>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</si>
  <si>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</si>
  <si>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</si>
  <si>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</si>
  <si>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</si>
  <si>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</si>
  <si>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</si>
  <si>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</si>
  <si>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</si>
  <si>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</si>
  <si>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</si>
  <si>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</si>
  <si>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</si>
  <si>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</si>
  <si>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</si>
  <si>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</si>
  <si>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</si>
  <si>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</si>
  <si>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</si>
  <si>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</si>
  <si>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</si>
  <si>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</si>
  <si>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</si>
  <si>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</si>
  <si>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</si>
  <si>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</si>
  <si>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</si>
  <si>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</si>
  <si>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</si>
  <si>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</si>
  <si>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</si>
  <si>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</si>
  <si>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</si>
  <si>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</si>
  <si>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</si>
  <si>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</si>
  <si>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</si>
  <si>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</si>
  <si>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</si>
  <si>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</si>
  <si>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</si>
  <si>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</si>
  <si>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</si>
  <si>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</si>
  <si>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</si>
  <si>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</si>
  <si>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</si>
  <si>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</si>
  <si>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</si>
  <si>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</si>
  <si>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</si>
  <si>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</si>
  <si>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</si>
  <si>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</si>
  <si>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</si>
  <si>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</si>
  <si>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</si>
  <si>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</si>
  <si>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</si>
  <si>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</si>
  <si>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</si>
  <si>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</si>
  <si>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</si>
  <si>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</si>
  <si>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</si>
  <si>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</si>
  <si>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</si>
  <si>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</si>
  <si>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</si>
  <si>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</si>
  <si>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</si>
  <si>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</si>
  <si>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</si>
  <si>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</si>
  <si>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</si>
  <si>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</si>
  <si>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</si>
  <si>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</si>
  <si>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</si>
  <si>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</si>
  <si>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</si>
  <si>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</si>
  <si>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</si>
  <si>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</si>
  <si>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</si>
  <si>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</si>
  <si>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</si>
  <si>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</si>
  <si>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</si>
  <si>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</si>
  <si>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</si>
  <si>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</si>
  <si>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</si>
  <si>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</si>
  <si>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</si>
  <si>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</si>
  <si>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</si>
  <si>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</si>
  <si>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</si>
  <si>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</si>
  <si>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</si>
  <si>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</si>
  <si>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</si>
  <si>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</si>
  <si>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</si>
  <si>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</si>
  <si>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</si>
  <si>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</si>
  <si>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</si>
  <si>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</si>
  <si>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</si>
  <si>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</si>
  <si>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</si>
  <si>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</si>
  <si>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</si>
  <si>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</si>
  <si>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</si>
  <si>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</si>
  <si>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</si>
  <si>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</si>
  <si>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</si>
  <si>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</si>
  <si>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</si>
  <si>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</si>
  <si>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</si>
  <si>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</si>
  <si>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</si>
  <si>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</si>
  <si>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</si>
  <si>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</si>
  <si>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</si>
  <si>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</si>
  <si>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</si>
  <si>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</si>
  <si>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</si>
  <si>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</si>
  <si>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</si>
  <si>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</si>
  <si>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</si>
  <si>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</si>
  <si>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</si>
  <si>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</si>
  <si>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</si>
  <si>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</si>
  <si>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</si>
  <si>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</si>
  <si>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</si>
  <si>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</si>
  <si>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</si>
  <si>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</si>
  <si>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</si>
  <si>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</si>
  <si>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</si>
  <si>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</si>
  <si>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</si>
  <si>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</si>
  <si>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</si>
  <si>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</si>
  <si>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</si>
  <si>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</si>
  <si>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</si>
  <si>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</si>
  <si>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</si>
  <si>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</si>
  <si>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</si>
  <si>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</si>
  <si>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</si>
  <si>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</si>
  <si>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</si>
  <si>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</si>
  <si>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</si>
  <si>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</si>
  <si>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</si>
  <si>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</si>
  <si>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</si>
  <si>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</si>
  <si>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</si>
  <si>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</si>
  <si>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</si>
  <si>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</si>
  <si>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</si>
  <si>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</si>
  <si>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</si>
  <si>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</si>
  <si>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</si>
  <si>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</si>
  <si>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</si>
  <si>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</si>
  <si>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</si>
  <si>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</si>
  <si>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</si>
  <si>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</si>
  <si>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</si>
  <si>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</si>
  <si>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</si>
  <si>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</si>
  <si>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</si>
  <si>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</si>
  <si>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</si>
  <si>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</si>
  <si>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</si>
  <si>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</si>
  <si>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</si>
  <si>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</si>
  <si>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</si>
  <si>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</si>
  <si>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</si>
  <si>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</si>
  <si>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</si>
  <si>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</si>
  <si>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</si>
  <si>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</si>
  <si>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</si>
  <si>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</si>
  <si>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</si>
  <si>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</si>
  <si>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</si>
  <si>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</si>
  <si>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</si>
  <si>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</si>
  <si>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</si>
  <si>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</si>
  <si>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</si>
  <si>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</si>
  <si>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</si>
  <si>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</si>
  <si>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</si>
  <si>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</si>
  <si>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</si>
  <si>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</si>
  <si>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</si>
  <si>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</si>
  <si>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</si>
  <si>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</si>
  <si>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</si>
  <si>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</si>
  <si>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</si>
  <si>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</si>
  <si>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</si>
  <si>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</si>
  <si>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</si>
  <si>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</si>
  <si>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</si>
  <si>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</si>
  <si>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</si>
  <si>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</si>
  <si>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</si>
  <si>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</si>
  <si>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</si>
  <si>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</si>
  <si>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</si>
  <si>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</si>
  <si>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</si>
  <si>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</si>
  <si>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</si>
  <si>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</si>
  <si>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</si>
  <si>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</si>
  <si>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</si>
  <si>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</si>
  <si>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</si>
  <si>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</si>
  <si>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</si>
  <si>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</si>
  <si>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</si>
  <si>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</si>
  <si>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</si>
  <si>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</si>
  <si>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</si>
  <si>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</si>
  <si>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</si>
  <si>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</si>
  <si>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</si>
  <si>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</si>
  <si>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</si>
  <si>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</si>
  <si>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</si>
  <si>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</si>
  <si>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</si>
  <si>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</si>
  <si>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</si>
  <si>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</si>
  <si>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</si>
  <si>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</si>
  <si>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</si>
  <si>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</si>
  <si>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</si>
  <si>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</si>
  <si>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</si>
  <si>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</si>
  <si>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</si>
  <si>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</si>
  <si>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</si>
  <si>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</si>
  <si>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</si>
  <si>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</si>
  <si>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</si>
  <si>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</si>
  <si>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</si>
  <si>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</si>
  <si>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</si>
  <si>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</si>
  <si>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</si>
  <si>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</si>
  <si>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</si>
  <si>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</si>
  <si>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</si>
  <si>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</si>
  <si>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</si>
  <si>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</si>
  <si>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</si>
  <si>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</si>
  <si>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</si>
  <si>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</si>
  <si>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</si>
  <si>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</si>
  <si>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</si>
  <si>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</si>
  <si>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</si>
  <si>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</si>
  <si>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</si>
  <si>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</si>
  <si>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</si>
  <si>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</si>
  <si>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</si>
  <si>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</si>
  <si>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</si>
  <si>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</si>
  <si>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</si>
  <si>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</si>
  <si>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</si>
  <si>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</si>
  <si>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</si>
  <si>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</si>
  <si>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</si>
  <si>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</si>
  <si>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</si>
  <si>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</si>
  <si>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</si>
  <si>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</si>
  <si>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</si>
  <si>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</si>
  <si>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</si>
  <si>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</si>
  <si>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</si>
  <si>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</si>
  <si>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</si>
  <si>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</si>
  <si>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</si>
  <si>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</si>
  <si>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</si>
  <si>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</si>
  <si>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</si>
  <si>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</si>
  <si>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</si>
  <si>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</si>
  <si>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</si>
  <si>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</si>
  <si>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</si>
  <si>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</si>
  <si>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</si>
  <si>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</si>
  <si>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</si>
  <si>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</si>
  <si>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</si>
  <si>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</si>
  <si>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</si>
  <si>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</si>
  <si>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</si>
  <si>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</si>
  <si>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</si>
  <si>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</si>
  <si>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</si>
  <si>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</si>
  <si>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</si>
  <si>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</si>
  <si>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</si>
  <si>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</si>
  <si>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</si>
  <si>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</si>
  <si>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</si>
  <si>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</si>
  <si>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</si>
  <si>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</si>
  <si>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</si>
  <si>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</si>
  <si>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</si>
  <si>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</si>
  <si>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</si>
  <si>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</si>
  <si>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</si>
  <si>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</si>
  <si>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</si>
  <si>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</si>
  <si>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</si>
  <si>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</si>
  <si>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</si>
  <si>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</si>
  <si>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</si>
  <si>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</si>
  <si>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</si>
  <si>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</si>
  <si>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</si>
  <si>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</si>
  <si>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</si>
  <si>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Waterville Valley School District</t>
  </si>
  <si>
    <t>01/2011</t>
  </si>
  <si>
    <t>08/2016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</si>
</sst>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5" sqref="H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553</v>
      </c>
      <c r="C2" s="21">
        <v>553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99948.46</v>
      </c>
      <c r="G9" s="18">
        <v>143.9</v>
      </c>
      <c r="H9" s="18">
        <v>-1555.93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>
        <v>1825.03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3577.25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103525.71</v>
      </c>
      <c r="G19" s="41">
        <f>SUM(G9:G18)</f>
        <v>143.9</v>
      </c>
      <c r="H19" s="41">
        <f>SUM(H9:H18)</f>
        <v>269.09999999999991</v>
      </c>
      <c r="I19" s="41">
        <f>SUM(I9:I18)</f>
        <v>0</v>
      </c>
      <c r="J19" s="41">
        <f>SUM(J9:J18)</f>
        <v>0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24263.25</v>
      </c>
      <c r="G24" s="18"/>
      <c r="H24" s="18">
        <v>269.10000000000002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24263.25</v>
      </c>
      <c r="G32" s="41">
        <f>SUM(G22:G31)</f>
        <v>0</v>
      </c>
      <c r="H32" s="41">
        <f>SUM(H22:H31)</f>
        <v>269.10000000000002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39802.68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143.9</v>
      </c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39459.78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79262.459999999992</v>
      </c>
      <c r="G51" s="41">
        <f>SUM(G35:G50)</f>
        <v>143.9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103525.70999999999</v>
      </c>
      <c r="G52" s="41">
        <f>G51+G32</f>
        <v>143.9</v>
      </c>
      <c r="H52" s="41">
        <f>H51+H32</f>
        <v>269.10000000000002</v>
      </c>
      <c r="I52" s="41">
        <f>I51+I32</f>
        <v>0</v>
      </c>
      <c r="J52" s="41">
        <f>J51+J32</f>
        <v>0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384318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384318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266.64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266.64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12.19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523.59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2461.25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766.25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3239.69</v>
      </c>
      <c r="G111" s="41">
        <f>SUM(G96:G110)</f>
        <v>523.59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387824.33</v>
      </c>
      <c r="G112" s="41">
        <f>G60+G111</f>
        <v>523.59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872438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872438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872438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825.67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619.04999999999995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12416.98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13861.699999999999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19395.64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19395.64</v>
      </c>
      <c r="G169" s="41">
        <f>G147+G162+SUM(G163:G168)</f>
        <v>0</v>
      </c>
      <c r="H169" s="41">
        <f>H147+H162+SUM(H163:H168)</f>
        <v>13861.699999999999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1000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1279657.97</v>
      </c>
      <c r="G193" s="47">
        <f>G112+G140+G169+G192</f>
        <v>1523.5900000000001</v>
      </c>
      <c r="H193" s="47">
        <f>H112+H140+H169+H192</f>
        <v>13861.699999999999</v>
      </c>
      <c r="I193" s="47">
        <f>I112+I140+I169+I192</f>
        <v>0</v>
      </c>
      <c r="J193" s="47">
        <f>J112+J140+J192</f>
        <v>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237903.72</v>
      </c>
      <c r="G197" s="18">
        <v>86464.39</v>
      </c>
      <c r="H197" s="18">
        <v>13945.76</v>
      </c>
      <c r="I197" s="18">
        <v>14870.47</v>
      </c>
      <c r="J197" s="18">
        <v>15139.91</v>
      </c>
      <c r="K197" s="18">
        <v>2475</v>
      </c>
      <c r="L197" s="19">
        <f>SUM(F197:K197)</f>
        <v>370799.24999999994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25708</v>
      </c>
      <c r="G198" s="18">
        <v>18714.21</v>
      </c>
      <c r="H198" s="18">
        <v>3156.5</v>
      </c>
      <c r="I198" s="18"/>
      <c r="J198" s="18">
        <v>548.74</v>
      </c>
      <c r="K198" s="18">
        <v>305.5</v>
      </c>
      <c r="L198" s="19">
        <f>SUM(F198:K198)</f>
        <v>48432.95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5896.97</v>
      </c>
      <c r="G200" s="18">
        <v>1243.07</v>
      </c>
      <c r="H200" s="18"/>
      <c r="I200" s="18">
        <v>470</v>
      </c>
      <c r="J200" s="18"/>
      <c r="K200" s="18"/>
      <c r="L200" s="19">
        <f>SUM(F200:K200)</f>
        <v>7610.04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8410.6</v>
      </c>
      <c r="G202" s="18">
        <v>2513.16</v>
      </c>
      <c r="H202" s="18">
        <v>13230.04</v>
      </c>
      <c r="I202" s="18">
        <v>109.61</v>
      </c>
      <c r="J202" s="18"/>
      <c r="K202" s="18">
        <v>286</v>
      </c>
      <c r="L202" s="19">
        <f t="shared" ref="L202:L208" si="0">SUM(F202:K202)</f>
        <v>24549.410000000003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13365.75</v>
      </c>
      <c r="G203" s="18">
        <v>13840.77</v>
      </c>
      <c r="H203" s="18"/>
      <c r="I203" s="18">
        <v>2371.5700000000002</v>
      </c>
      <c r="J203" s="18"/>
      <c r="K203" s="18"/>
      <c r="L203" s="19">
        <f t="shared" si="0"/>
        <v>29578.09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2050</v>
      </c>
      <c r="G204" s="18">
        <v>153</v>
      </c>
      <c r="H204" s="18">
        <v>105823.37</v>
      </c>
      <c r="I204" s="18">
        <v>245.05</v>
      </c>
      <c r="J204" s="18"/>
      <c r="K204" s="18">
        <v>1899.98</v>
      </c>
      <c r="L204" s="19">
        <f t="shared" si="0"/>
        <v>110171.4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108852.64</v>
      </c>
      <c r="G205" s="18">
        <v>39028.629999999997</v>
      </c>
      <c r="H205" s="18">
        <v>451.49</v>
      </c>
      <c r="I205" s="18">
        <v>3301.22</v>
      </c>
      <c r="J205" s="18"/>
      <c r="K205" s="18">
        <v>1523.98</v>
      </c>
      <c r="L205" s="19">
        <f t="shared" si="0"/>
        <v>153157.96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47063.3</v>
      </c>
      <c r="G207" s="18">
        <v>14654.56</v>
      </c>
      <c r="H207" s="18">
        <v>33259.24</v>
      </c>
      <c r="I207" s="18">
        <v>41039.78</v>
      </c>
      <c r="J207" s="18">
        <v>1330.08</v>
      </c>
      <c r="K207" s="18"/>
      <c r="L207" s="19">
        <f t="shared" si="0"/>
        <v>137346.96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6913.6</v>
      </c>
      <c r="I208" s="18"/>
      <c r="J208" s="18"/>
      <c r="K208" s="18"/>
      <c r="L208" s="19">
        <f t="shared" si="0"/>
        <v>6913.6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449250.97999999992</v>
      </c>
      <c r="G211" s="41">
        <f t="shared" si="1"/>
        <v>176611.79</v>
      </c>
      <c r="H211" s="41">
        <f t="shared" si="1"/>
        <v>176779.99999999997</v>
      </c>
      <c r="I211" s="41">
        <f t="shared" si="1"/>
        <v>62407.7</v>
      </c>
      <c r="J211" s="41">
        <f t="shared" si="1"/>
        <v>17018.73</v>
      </c>
      <c r="K211" s="41">
        <f t="shared" si="1"/>
        <v>6490.4599999999991</v>
      </c>
      <c r="L211" s="41">
        <f t="shared" si="1"/>
        <v>888559.6599999998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172807.22</v>
      </c>
      <c r="I233" s="18"/>
      <c r="J233" s="18"/>
      <c r="K233" s="18"/>
      <c r="L233" s="19">
        <f>SUM(F233:K233)</f>
        <v>172807.22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90520.12</v>
      </c>
      <c r="I234" s="18"/>
      <c r="J234" s="18"/>
      <c r="K234" s="18"/>
      <c r="L234" s="19">
        <f>SUM(F234:K234)</f>
        <v>90520.12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263327.33999999997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263327.33999999997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77203.100000000006</v>
      </c>
      <c r="I255" s="18"/>
      <c r="J255" s="18"/>
      <c r="K255" s="18"/>
      <c r="L255" s="19">
        <f t="shared" si="6"/>
        <v>77203.100000000006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77203.100000000006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77203.100000000006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449250.97999999992</v>
      </c>
      <c r="G257" s="41">
        <f t="shared" si="8"/>
        <v>176611.79</v>
      </c>
      <c r="H257" s="41">
        <f t="shared" si="8"/>
        <v>517310.43999999994</v>
      </c>
      <c r="I257" s="41">
        <f t="shared" si="8"/>
        <v>62407.7</v>
      </c>
      <c r="J257" s="41">
        <f t="shared" si="8"/>
        <v>17018.73</v>
      </c>
      <c r="K257" s="41">
        <f t="shared" si="8"/>
        <v>6490.4599999999991</v>
      </c>
      <c r="L257" s="41">
        <f t="shared" si="8"/>
        <v>1229090.0999999999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11805.5</v>
      </c>
      <c r="L260" s="19">
        <f>SUM(F260:K260)</f>
        <v>11805.5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174.83</v>
      </c>
      <c r="L261" s="19">
        <f>SUM(F261:K261)</f>
        <v>174.83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1000</v>
      </c>
      <c r="L263" s="19">
        <f>SUM(F263:K263)</f>
        <v>1000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12980.33</v>
      </c>
      <c r="L270" s="41">
        <f t="shared" si="9"/>
        <v>12980.33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449250.97999999992</v>
      </c>
      <c r="G271" s="42">
        <f t="shared" si="11"/>
        <v>176611.79</v>
      </c>
      <c r="H271" s="42">
        <f t="shared" si="11"/>
        <v>517310.43999999994</v>
      </c>
      <c r="I271" s="42">
        <f t="shared" si="11"/>
        <v>62407.7</v>
      </c>
      <c r="J271" s="42">
        <f t="shared" si="11"/>
        <v>17018.73</v>
      </c>
      <c r="K271" s="42">
        <f t="shared" si="11"/>
        <v>19470.79</v>
      </c>
      <c r="L271" s="42">
        <f t="shared" si="11"/>
        <v>1242070.43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>
        <v>2408.56</v>
      </c>
      <c r="I276" s="18">
        <v>703.62</v>
      </c>
      <c r="J276" s="18">
        <v>8038.8</v>
      </c>
      <c r="K276" s="18"/>
      <c r="L276" s="19">
        <f>SUM(F276:K276)</f>
        <v>11150.98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>
        <v>1397.99</v>
      </c>
      <c r="J282" s="18"/>
      <c r="K282" s="18"/>
      <c r="L282" s="19">
        <f t="shared" si="12"/>
        <v>1397.99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46.73</v>
      </c>
      <c r="L283" s="19">
        <f t="shared" si="12"/>
        <v>46.73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>
        <v>1266</v>
      </c>
      <c r="K286" s="18"/>
      <c r="L286" s="19">
        <f t="shared" si="12"/>
        <v>1266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2408.56</v>
      </c>
      <c r="I290" s="42">
        <f t="shared" si="13"/>
        <v>2101.61</v>
      </c>
      <c r="J290" s="42">
        <f t="shared" si="13"/>
        <v>9304.7999999999993</v>
      </c>
      <c r="K290" s="42">
        <f t="shared" si="13"/>
        <v>46.73</v>
      </c>
      <c r="L290" s="41">
        <f t="shared" si="13"/>
        <v>13861.699999999999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2408.56</v>
      </c>
      <c r="I338" s="41">
        <f t="shared" si="20"/>
        <v>2101.61</v>
      </c>
      <c r="J338" s="41">
        <f t="shared" si="20"/>
        <v>9304.7999999999993</v>
      </c>
      <c r="K338" s="41">
        <f t="shared" si="20"/>
        <v>46.73</v>
      </c>
      <c r="L338" s="41">
        <f t="shared" si="20"/>
        <v>13861.699999999999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2408.56</v>
      </c>
      <c r="I352" s="41">
        <f>I338</f>
        <v>2101.61</v>
      </c>
      <c r="J352" s="41">
        <f>J338</f>
        <v>9304.7999999999993</v>
      </c>
      <c r="K352" s="47">
        <f>K338+K351</f>
        <v>46.73</v>
      </c>
      <c r="L352" s="41">
        <f>L338+L351</f>
        <v>13861.699999999999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>
        <v>1379.69</v>
      </c>
      <c r="J358" s="18"/>
      <c r="K358" s="18"/>
      <c r="L358" s="13">
        <f>SUM(F358:K358)</f>
        <v>1379.69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1379.69</v>
      </c>
      <c r="J362" s="47">
        <f t="shared" si="22"/>
        <v>0</v>
      </c>
      <c r="K362" s="47">
        <f t="shared" si="22"/>
        <v>0</v>
      </c>
      <c r="L362" s="47">
        <f t="shared" si="22"/>
        <v>1379.69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1379.69</v>
      </c>
      <c r="G367" s="18"/>
      <c r="H367" s="18"/>
      <c r="I367" s="56">
        <f>SUM(F367:H367)</f>
        <v>1379.69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1379.69</v>
      </c>
      <c r="G369" s="47">
        <f>SUM(G367:G368)</f>
        <v>0</v>
      </c>
      <c r="H369" s="47">
        <f>SUM(H367:H368)</f>
        <v>0</v>
      </c>
      <c r="I369" s="47">
        <f>SUM(I367:I368)</f>
        <v>1379.69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41674.92</v>
      </c>
      <c r="G465" s="18">
        <v>0</v>
      </c>
      <c r="H465" s="18">
        <v>0</v>
      </c>
      <c r="I465" s="18">
        <v>0</v>
      </c>
      <c r="J465" s="18">
        <v>0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1279657.97</v>
      </c>
      <c r="G468" s="18">
        <v>1523.59</v>
      </c>
      <c r="H468" s="18">
        <v>13861.7</v>
      </c>
      <c r="I468" s="18"/>
      <c r="J468" s="18"/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1279657.97</v>
      </c>
      <c r="G470" s="53">
        <f>SUM(G468:G469)</f>
        <v>1523.59</v>
      </c>
      <c r="H470" s="53">
        <f>SUM(H468:H469)</f>
        <v>13861.7</v>
      </c>
      <c r="I470" s="53">
        <f>SUM(I468:I469)</f>
        <v>0</v>
      </c>
      <c r="J470" s="53">
        <f>SUM(J468:J469)</f>
        <v>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1242070.43</v>
      </c>
      <c r="G472" s="18">
        <v>1379.69</v>
      </c>
      <c r="H472" s="18">
        <v>13861.7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1242070.43</v>
      </c>
      <c r="G474" s="53">
        <f>SUM(G472:G473)</f>
        <v>1379.69</v>
      </c>
      <c r="H474" s="53">
        <f>SUM(H472:H473)</f>
        <v>13861.7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79262.459999999963</v>
      </c>
      <c r="G476" s="53">
        <f>(G465+G470)- G474</f>
        <v>143.89999999999986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7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388105.5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2.97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11805.5</v>
      </c>
      <c r="G495" s="18"/>
      <c r="H495" s="18"/>
      <c r="I495" s="18"/>
      <c r="J495" s="18"/>
      <c r="K495" s="53">
        <f>SUM(F495:J495)</f>
        <v>11805.5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11805.5</v>
      </c>
      <c r="G497" s="18"/>
      <c r="H497" s="18"/>
      <c r="I497" s="18"/>
      <c r="J497" s="18"/>
      <c r="K497" s="53">
        <f t="shared" si="35"/>
        <v>11805.5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25708</v>
      </c>
      <c r="G521" s="18">
        <v>18714.21</v>
      </c>
      <c r="H521" s="18">
        <v>3156.5</v>
      </c>
      <c r="I521" s="18"/>
      <c r="J521" s="18">
        <v>548.74</v>
      </c>
      <c r="K521" s="18">
        <v>305.5</v>
      </c>
      <c r="L521" s="88">
        <f>SUM(F521:K521)</f>
        <v>48432.95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90520.12</v>
      </c>
      <c r="I523" s="18"/>
      <c r="J523" s="18"/>
      <c r="K523" s="18"/>
      <c r="L523" s="88">
        <f>SUM(F523:K523)</f>
        <v>90520.12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25708</v>
      </c>
      <c r="G524" s="108">
        <f t="shared" ref="G524:L524" si="36">SUM(G521:G523)</f>
        <v>18714.21</v>
      </c>
      <c r="H524" s="108">
        <f t="shared" si="36"/>
        <v>93676.62</v>
      </c>
      <c r="I524" s="108">
        <f t="shared" si="36"/>
        <v>0</v>
      </c>
      <c r="J524" s="108">
        <f t="shared" si="36"/>
        <v>548.74</v>
      </c>
      <c r="K524" s="108">
        <f t="shared" si="36"/>
        <v>305.5</v>
      </c>
      <c r="L524" s="89">
        <f t="shared" si="36"/>
        <v>138953.07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1682.12</v>
      </c>
      <c r="G526" s="18">
        <v>502.63</v>
      </c>
      <c r="H526" s="18">
        <v>11839.5</v>
      </c>
      <c r="I526" s="18">
        <v>21.92</v>
      </c>
      <c r="J526" s="18"/>
      <c r="K526" s="18">
        <v>57.2</v>
      </c>
      <c r="L526" s="88">
        <f>SUM(F526:K526)</f>
        <v>14103.37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1682.12</v>
      </c>
      <c r="G529" s="89">
        <f t="shared" ref="G529:L529" si="37">SUM(G526:G528)</f>
        <v>502.63</v>
      </c>
      <c r="H529" s="89">
        <f t="shared" si="37"/>
        <v>11839.5</v>
      </c>
      <c r="I529" s="89">
        <f t="shared" si="37"/>
        <v>21.92</v>
      </c>
      <c r="J529" s="89">
        <f t="shared" si="37"/>
        <v>0</v>
      </c>
      <c r="K529" s="89">
        <f t="shared" si="37"/>
        <v>57.2</v>
      </c>
      <c r="L529" s="89">
        <f t="shared" si="37"/>
        <v>14103.37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8499.5400000000009</v>
      </c>
      <c r="G531" s="18">
        <v>4082.03</v>
      </c>
      <c r="H531" s="18">
        <v>113.45</v>
      </c>
      <c r="I531" s="18"/>
      <c r="J531" s="18"/>
      <c r="K531" s="18"/>
      <c r="L531" s="88">
        <f>SUM(F531:K531)</f>
        <v>12695.020000000002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8499.5400000000009</v>
      </c>
      <c r="G534" s="89">
        <f t="shared" ref="G534:L534" si="38">SUM(G531:G533)</f>
        <v>4082.03</v>
      </c>
      <c r="H534" s="89">
        <f t="shared" si="38"/>
        <v>113.45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12695.020000000002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4048.53</v>
      </c>
      <c r="I536" s="18"/>
      <c r="J536" s="18"/>
      <c r="K536" s="18"/>
      <c r="L536" s="88">
        <f>SUM(F536:K536)</f>
        <v>4048.53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4048.53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4048.53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3250</v>
      </c>
      <c r="I541" s="18"/>
      <c r="J541" s="18"/>
      <c r="K541" s="18"/>
      <c r="L541" s="88">
        <f>SUM(F541:K541)</f>
        <v>3250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3250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3250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35889.660000000003</v>
      </c>
      <c r="G545" s="89">
        <f t="shared" ref="G545:L545" si="41">G524+G529+G534+G539+G544</f>
        <v>23298.87</v>
      </c>
      <c r="H545" s="89">
        <f t="shared" si="41"/>
        <v>112928.09999999999</v>
      </c>
      <c r="I545" s="89">
        <f t="shared" si="41"/>
        <v>21.92</v>
      </c>
      <c r="J545" s="89">
        <f t="shared" si="41"/>
        <v>548.74</v>
      </c>
      <c r="K545" s="89">
        <f t="shared" si="41"/>
        <v>362.7</v>
      </c>
      <c r="L545" s="89">
        <f t="shared" si="41"/>
        <v>173049.99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48432.95</v>
      </c>
      <c r="G549" s="87">
        <f>L526</f>
        <v>14103.37</v>
      </c>
      <c r="H549" s="87">
        <f>L531</f>
        <v>12695.020000000002</v>
      </c>
      <c r="I549" s="87">
        <f>L536</f>
        <v>4048.53</v>
      </c>
      <c r="J549" s="87">
        <f>L541</f>
        <v>3250</v>
      </c>
      <c r="K549" s="87">
        <f>SUM(F549:J549)</f>
        <v>82529.87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90520.12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90520.12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138953.07</v>
      </c>
      <c r="G552" s="89">
        <f t="shared" si="42"/>
        <v>14103.37</v>
      </c>
      <c r="H552" s="89">
        <f t="shared" si="42"/>
        <v>12695.020000000002</v>
      </c>
      <c r="I552" s="89">
        <f t="shared" si="42"/>
        <v>4048.53</v>
      </c>
      <c r="J552" s="89">
        <f t="shared" si="42"/>
        <v>3250</v>
      </c>
      <c r="K552" s="89">
        <f t="shared" si="42"/>
        <v>173049.99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172807.22</v>
      </c>
      <c r="I575" s="87">
        <f>SUM(F575:H575)</f>
        <v>172807.22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90520.12</v>
      </c>
      <c r="I579" s="87">
        <f t="shared" si="47"/>
        <v>90520.12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200</v>
      </c>
      <c r="I591" s="18"/>
      <c r="J591" s="18"/>
      <c r="K591" s="104">
        <f t="shared" ref="K591:K597" si="48">SUM(H591:J591)</f>
        <v>200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3250</v>
      </c>
      <c r="I592" s="18"/>
      <c r="J592" s="18"/>
      <c r="K592" s="104">
        <f t="shared" si="48"/>
        <v>3250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3463.6</v>
      </c>
      <c r="I595" s="18"/>
      <c r="J595" s="18"/>
      <c r="K595" s="104">
        <f t="shared" si="48"/>
        <v>3463.6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6913.6</v>
      </c>
      <c r="I598" s="108">
        <f>SUM(I591:I597)</f>
        <v>0</v>
      </c>
      <c r="J598" s="108">
        <f>SUM(J591:J597)</f>
        <v>0</v>
      </c>
      <c r="K598" s="108">
        <f>SUM(K591:K597)</f>
        <v>6913.6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26323.53</v>
      </c>
      <c r="I604" s="18"/>
      <c r="J604" s="18"/>
      <c r="K604" s="104">
        <f>SUM(H604:J604)</f>
        <v>26323.53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26323.53</v>
      </c>
      <c r="I605" s="108">
        <f>SUM(I602:I604)</f>
        <v>0</v>
      </c>
      <c r="J605" s="108">
        <f>SUM(J602:J604)</f>
        <v>0</v>
      </c>
      <c r="K605" s="108">
        <f>SUM(K602:K604)</f>
        <v>26323.53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103525.71</v>
      </c>
      <c r="H617" s="109">
        <f>SUM(F52)</f>
        <v>103525.70999999999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143.9</v>
      </c>
      <c r="H618" s="109">
        <f>SUM(G52)</f>
        <v>143.9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269.09999999999991</v>
      </c>
      <c r="H619" s="109">
        <f>SUM(H52)</f>
        <v>269.10000000000002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0</v>
      </c>
      <c r="H621" s="109">
        <f>SUM(J52)</f>
        <v>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79262.459999999992</v>
      </c>
      <c r="H622" s="109">
        <f>F476</f>
        <v>79262.459999999963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143.9</v>
      </c>
      <c r="H623" s="109">
        <f>G476</f>
        <v>143.89999999999986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1279657.97</v>
      </c>
      <c r="H627" s="104">
        <f>SUM(F468)</f>
        <v>1279657.97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1523.5900000000001</v>
      </c>
      <c r="H628" s="104">
        <f>SUM(G468)</f>
        <v>1523.59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13861.699999999999</v>
      </c>
      <c r="H629" s="104">
        <f>SUM(H468)</f>
        <v>13861.7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1242070.43</v>
      </c>
      <c r="H632" s="104">
        <f>SUM(F472)</f>
        <v>1242070.43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13861.699999999999</v>
      </c>
      <c r="H633" s="104">
        <f>SUM(H472)</f>
        <v>13861.7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1379.69</v>
      </c>
      <c r="H634" s="104">
        <f>I369</f>
        <v>1379.69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1379.69</v>
      </c>
      <c r="H635" s="104">
        <f>SUM(G472)</f>
        <v>1379.69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6913.6</v>
      </c>
      <c r="H647" s="104">
        <f>L208+L226+L244</f>
        <v>6913.6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26323.53</v>
      </c>
      <c r="H648" s="104">
        <f>(J257+J338)-(J255+J336)</f>
        <v>26323.53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6913.6</v>
      </c>
      <c r="H649" s="104">
        <f>H598</f>
        <v>6913.6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1000</v>
      </c>
      <c r="H652" s="104">
        <f>K263+K345</f>
        <v>1000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903801.0499999997</v>
      </c>
      <c r="G660" s="19">
        <f>(L229+L309+L359)</f>
        <v>0</v>
      </c>
      <c r="H660" s="19">
        <f>(L247+L328+L360)</f>
        <v>263327.33999999997</v>
      </c>
      <c r="I660" s="19">
        <f>SUM(F660:H660)</f>
        <v>1167128.3899999997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523.59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523.59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6913.6</v>
      </c>
      <c r="G662" s="19">
        <f>(L226+L306)-(J226+J306)</f>
        <v>0</v>
      </c>
      <c r="H662" s="19">
        <f>(L244+L325)-(J244+J325)</f>
        <v>0</v>
      </c>
      <c r="I662" s="19">
        <f>SUM(F662:H662)</f>
        <v>6913.6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26323.53</v>
      </c>
      <c r="G663" s="199">
        <f>SUM(G575:G587)+SUM(I602:I604)+L612</f>
        <v>0</v>
      </c>
      <c r="H663" s="199">
        <f>SUM(H575:H587)+SUM(J602:J604)+L613</f>
        <v>263327.33999999997</v>
      </c>
      <c r="I663" s="19">
        <f>SUM(F663:H663)</f>
        <v>289650.87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870040.32999999973</v>
      </c>
      <c r="G664" s="19">
        <f>G660-SUM(G661:G663)</f>
        <v>0</v>
      </c>
      <c r="H664" s="19">
        <f>H660-SUM(H661:H663)</f>
        <v>0</v>
      </c>
      <c r="I664" s="19">
        <f>I660-SUM(I661:I663)</f>
        <v>870040.32999999961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20.43</v>
      </c>
      <c r="G665" s="248"/>
      <c r="H665" s="248"/>
      <c r="I665" s="19">
        <f>SUM(F665:H665)</f>
        <v>20.43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42586.41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42586.41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42586.41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42586.41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39" sqref="A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Waterville Valley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237903.72</v>
      </c>
      <c r="C9" s="229">
        <f>'DOE25'!G197+'DOE25'!G215+'DOE25'!G233+'DOE25'!G276+'DOE25'!G295+'DOE25'!G314</f>
        <v>86464.39</v>
      </c>
    </row>
    <row r="10" spans="1:3" x14ac:dyDescent="0.2">
      <c r="A10" t="s">
        <v>778</v>
      </c>
      <c r="B10" s="240">
        <v>213892.92</v>
      </c>
      <c r="C10" s="240">
        <v>84264.58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>
        <v>24010.799999999999</v>
      </c>
      <c r="C12" s="240">
        <v>2199.81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237903.72</v>
      </c>
      <c r="C13" s="231">
        <f>SUM(C10:C12)</f>
        <v>86464.39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25708</v>
      </c>
      <c r="C18" s="229">
        <f>'DOE25'!G198+'DOE25'!G216+'DOE25'!G234+'DOE25'!G277+'DOE25'!G296+'DOE25'!G315</f>
        <v>18714.21</v>
      </c>
    </row>
    <row r="19" spans="1:3" x14ac:dyDescent="0.2">
      <c r="A19" t="s">
        <v>778</v>
      </c>
      <c r="B19" s="240">
        <v>22105.5</v>
      </c>
      <c r="C19" s="240">
        <v>18107.21</v>
      </c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>
        <v>3602.5</v>
      </c>
      <c r="C21" s="240">
        <v>607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25708</v>
      </c>
      <c r="C22" s="231">
        <f>SUM(C19:C21)</f>
        <v>18714.21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5896.97</v>
      </c>
      <c r="C36" s="235">
        <f>'DOE25'!G200+'DOE25'!G218+'DOE25'!G236+'DOE25'!G279+'DOE25'!G298+'DOE25'!G317</f>
        <v>1243.07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5896.97</v>
      </c>
      <c r="C39" s="240">
        <v>1243.07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5896.97</v>
      </c>
      <c r="C40" s="231">
        <f>SUM(C37:C39)</f>
        <v>1243.07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Waterville Valley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690169.57999999984</v>
      </c>
      <c r="D5" s="20">
        <f>SUM('DOE25'!L197:L200)+SUM('DOE25'!L215:L218)+SUM('DOE25'!L233:L236)-F5-G5</f>
        <v>671700.42999999982</v>
      </c>
      <c r="E5" s="243"/>
      <c r="F5" s="255">
        <f>SUM('DOE25'!J197:J200)+SUM('DOE25'!J215:J218)+SUM('DOE25'!J233:J236)</f>
        <v>15688.65</v>
      </c>
      <c r="G5" s="53">
        <f>SUM('DOE25'!K197:K200)+SUM('DOE25'!K215:K218)+SUM('DOE25'!K233:K236)</f>
        <v>2780.5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24549.410000000003</v>
      </c>
      <c r="D6" s="20">
        <f>'DOE25'!L202+'DOE25'!L220+'DOE25'!L238-F6-G6</f>
        <v>24263.410000000003</v>
      </c>
      <c r="E6" s="243"/>
      <c r="F6" s="255">
        <f>'DOE25'!J202+'DOE25'!J220+'DOE25'!J238</f>
        <v>0</v>
      </c>
      <c r="G6" s="53">
        <f>'DOE25'!K202+'DOE25'!K220+'DOE25'!K238</f>
        <v>286</v>
      </c>
      <c r="H6" s="259"/>
    </row>
    <row r="7" spans="1:9" x14ac:dyDescent="0.2">
      <c r="A7" s="32">
        <v>2200</v>
      </c>
      <c r="B7" t="s">
        <v>833</v>
      </c>
      <c r="C7" s="245">
        <f t="shared" si="0"/>
        <v>29578.09</v>
      </c>
      <c r="D7" s="20">
        <f>'DOE25'!L203+'DOE25'!L221+'DOE25'!L239-F7-G7</f>
        <v>29578.09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59460.070000000007</v>
      </c>
      <c r="D8" s="243"/>
      <c r="E8" s="20">
        <f>'DOE25'!L204+'DOE25'!L222+'DOE25'!L240-F8-G8-D9-D11</f>
        <v>57560.090000000004</v>
      </c>
      <c r="F8" s="255">
        <f>'DOE25'!J204+'DOE25'!J222+'DOE25'!J240</f>
        <v>0</v>
      </c>
      <c r="G8" s="53">
        <f>'DOE25'!K204+'DOE25'!K222+'DOE25'!K240</f>
        <v>1899.98</v>
      </c>
      <c r="H8" s="259"/>
    </row>
    <row r="9" spans="1:9" x14ac:dyDescent="0.2">
      <c r="A9" s="32">
        <v>2310</v>
      </c>
      <c r="B9" t="s">
        <v>817</v>
      </c>
      <c r="C9" s="245">
        <f t="shared" si="0"/>
        <v>13519.4</v>
      </c>
      <c r="D9" s="244">
        <v>13519.4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37191.93</v>
      </c>
      <c r="D11" s="244">
        <v>37191.93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153157.96</v>
      </c>
      <c r="D12" s="20">
        <f>'DOE25'!L205+'DOE25'!L223+'DOE25'!L241-F12-G12</f>
        <v>151633.97999999998</v>
      </c>
      <c r="E12" s="243"/>
      <c r="F12" s="255">
        <f>'DOE25'!J205+'DOE25'!J223+'DOE25'!J241</f>
        <v>0</v>
      </c>
      <c r="G12" s="53">
        <f>'DOE25'!K205+'DOE25'!K223+'DOE25'!K241</f>
        <v>1523.98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137346.96</v>
      </c>
      <c r="D14" s="20">
        <f>'DOE25'!L207+'DOE25'!L225+'DOE25'!L243-F14-G14</f>
        <v>136016.88</v>
      </c>
      <c r="E14" s="243"/>
      <c r="F14" s="255">
        <f>'DOE25'!J207+'DOE25'!J225+'DOE25'!J243</f>
        <v>1330.08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6913.6</v>
      </c>
      <c r="D15" s="20">
        <f>'DOE25'!L208+'DOE25'!L226+'DOE25'!L244-F15-G15</f>
        <v>6913.6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77203.100000000006</v>
      </c>
      <c r="D22" s="243"/>
      <c r="E22" s="243"/>
      <c r="F22" s="255">
        <f>'DOE25'!L255+'DOE25'!L336</f>
        <v>77203.100000000006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11980.33</v>
      </c>
      <c r="D25" s="243"/>
      <c r="E25" s="243"/>
      <c r="F25" s="258"/>
      <c r="G25" s="256"/>
      <c r="H25" s="257">
        <f>'DOE25'!L260+'DOE25'!L261+'DOE25'!L341+'DOE25'!L342</f>
        <v>11980.33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13861.699999999999</v>
      </c>
      <c r="D31" s="20">
        <f>'DOE25'!L290+'DOE25'!L309+'DOE25'!L328+'DOE25'!L333+'DOE25'!L334+'DOE25'!L335-F31-G31</f>
        <v>4510.17</v>
      </c>
      <c r="E31" s="243"/>
      <c r="F31" s="255">
        <f>'DOE25'!J290+'DOE25'!J309+'DOE25'!J328+'DOE25'!J333+'DOE25'!J334+'DOE25'!J335</f>
        <v>9304.7999999999993</v>
      </c>
      <c r="G31" s="53">
        <f>'DOE25'!K290+'DOE25'!K309+'DOE25'!K328+'DOE25'!K333+'DOE25'!K334+'DOE25'!K335</f>
        <v>46.73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1075327.8899999999</v>
      </c>
      <c r="E33" s="246">
        <f>SUM(E5:E31)</f>
        <v>61560.090000000004</v>
      </c>
      <c r="F33" s="246">
        <f>SUM(F5:F31)</f>
        <v>103526.63</v>
      </c>
      <c r="G33" s="246">
        <f>SUM(G5:G31)</f>
        <v>6537.1899999999987</v>
      </c>
      <c r="H33" s="246">
        <f>SUM(H5:H31)</f>
        <v>11980.33</v>
      </c>
    </row>
    <row r="35" spans="2:8" ht="12" thickBot="1" x14ac:dyDescent="0.25">
      <c r="B35" s="253" t="s">
        <v>846</v>
      </c>
      <c r="D35" s="254">
        <f>E33</f>
        <v>61560.090000000004</v>
      </c>
      <c r="E35" s="249"/>
    </row>
    <row r="36" spans="2:8" ht="12" thickTop="1" x14ac:dyDescent="0.2">
      <c r="B36" t="s">
        <v>814</v>
      </c>
      <c r="D36" s="20">
        <f>D33</f>
        <v>1075327.8899999999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Waterville Valley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99948.46</v>
      </c>
      <c r="D8" s="95">
        <f>'DOE25'!G9</f>
        <v>143.9</v>
      </c>
      <c r="E8" s="95">
        <f>'DOE25'!H9</f>
        <v>-1555.93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1825.03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3577.25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103525.71</v>
      </c>
      <c r="D18" s="41">
        <f>SUM(D8:D17)</f>
        <v>143.9</v>
      </c>
      <c r="E18" s="41">
        <f>SUM(E8:E17)</f>
        <v>269.09999999999991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24263.25</v>
      </c>
      <c r="D23" s="95">
        <f>'DOE25'!G24</f>
        <v>0</v>
      </c>
      <c r="E23" s="95">
        <f>'DOE25'!H24</f>
        <v>269.10000000000002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24263.25</v>
      </c>
      <c r="D31" s="41">
        <f>SUM(D21:D30)</f>
        <v>0</v>
      </c>
      <c r="E31" s="41">
        <f>SUM(E21:E30)</f>
        <v>269.10000000000002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39802.68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143.9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39459.78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79262.459999999992</v>
      </c>
      <c r="D50" s="41">
        <f>SUM(D34:D49)</f>
        <v>143.9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103525.70999999999</v>
      </c>
      <c r="D51" s="41">
        <f>D50+D31</f>
        <v>143.9</v>
      </c>
      <c r="E51" s="41">
        <f>E50+E31</f>
        <v>269.10000000000002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384318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266.64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12.19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523.59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3227.5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3506.33</v>
      </c>
      <c r="D62" s="130">
        <f>SUM(D57:D61)</f>
        <v>523.59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387824.33</v>
      </c>
      <c r="D63" s="22">
        <f>D56+D62</f>
        <v>523.59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872438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872438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872438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13861.699999999999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19395.64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19395.64</v>
      </c>
      <c r="D91" s="131">
        <f>SUM(D85:D90)</f>
        <v>0</v>
      </c>
      <c r="E91" s="131">
        <f>SUM(E85:E90)</f>
        <v>13861.699999999999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1279657.97</v>
      </c>
      <c r="D104" s="86">
        <f>D63+D81+D91+D103</f>
        <v>1523.5900000000001</v>
      </c>
      <c r="E104" s="86">
        <f>E63+E81+E91+E103</f>
        <v>13861.699999999999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543606.47</v>
      </c>
      <c r="D109" s="24" t="s">
        <v>288</v>
      </c>
      <c r="E109" s="95">
        <f>('DOE25'!L276)+('DOE25'!L295)+('DOE25'!L314)</f>
        <v>11150.98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138953.07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7610.04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690169.58000000007</v>
      </c>
      <c r="D115" s="86">
        <f>SUM(D109:D114)</f>
        <v>0</v>
      </c>
      <c r="E115" s="86">
        <f>SUM(E109:E114)</f>
        <v>11150.98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24549.410000000003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29578.09</v>
      </c>
      <c r="D119" s="24" t="s">
        <v>288</v>
      </c>
      <c r="E119" s="95">
        <f>+('DOE25'!L282)+('DOE25'!L301)+('DOE25'!L320)</f>
        <v>1397.99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110171.4</v>
      </c>
      <c r="D120" s="24" t="s">
        <v>288</v>
      </c>
      <c r="E120" s="95">
        <f>+('DOE25'!L283)+('DOE25'!L302)+('DOE25'!L321)</f>
        <v>46.73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153157.96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137346.96</v>
      </c>
      <c r="D123" s="24" t="s">
        <v>288</v>
      </c>
      <c r="E123" s="95">
        <f>+('DOE25'!L286)+('DOE25'!L305)+('DOE25'!L324)</f>
        <v>1266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6913.6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1379.69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461717.41999999993</v>
      </c>
      <c r="D128" s="86">
        <f>SUM(D118:D127)</f>
        <v>1379.69</v>
      </c>
      <c r="E128" s="86">
        <f>SUM(E118:E127)</f>
        <v>2710.7200000000003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77203.100000000006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11805.5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174.83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90183.430000000008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1242070.43</v>
      </c>
      <c r="D145" s="86">
        <f>(D115+D128+D144)</f>
        <v>1379.69</v>
      </c>
      <c r="E145" s="86">
        <f>(E115+E128+E144)</f>
        <v>13861.7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7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01/2011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08/2016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388105.5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2.97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11805.5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11805.5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11805.5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11805.5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Waterville Valley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42586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42586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554757</v>
      </c>
      <c r="D10" s="182">
        <f>ROUND((C10/$C$28)*100,1)</f>
        <v>47.5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138953</v>
      </c>
      <c r="D11" s="182">
        <f>ROUND((C11/$C$28)*100,1)</f>
        <v>11.9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7610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24549</v>
      </c>
      <c r="D15" s="182">
        <f t="shared" ref="D15:D27" si="0">ROUND((C15/$C$28)*100,1)</f>
        <v>2.1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30976</v>
      </c>
      <c r="D16" s="182">
        <f t="shared" si="0"/>
        <v>2.7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110218</v>
      </c>
      <c r="D17" s="182">
        <f t="shared" si="0"/>
        <v>9.4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153158</v>
      </c>
      <c r="D18" s="182">
        <f t="shared" si="0"/>
        <v>13.1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138613</v>
      </c>
      <c r="D20" s="182">
        <f t="shared" si="0"/>
        <v>11.9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6914</v>
      </c>
      <c r="D21" s="182">
        <f t="shared" si="0"/>
        <v>0.6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175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856.41</v>
      </c>
      <c r="D27" s="182">
        <f t="shared" si="0"/>
        <v>0.1</v>
      </c>
    </row>
    <row r="28" spans="1:4" x14ac:dyDescent="0.2">
      <c r="B28" s="187" t="s">
        <v>722</v>
      </c>
      <c r="C28" s="180">
        <f>SUM(C10:C27)</f>
        <v>1166779.4099999999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77203</v>
      </c>
    </row>
    <row r="30" spans="1:4" x14ac:dyDescent="0.2">
      <c r="B30" s="187" t="s">
        <v>728</v>
      </c>
      <c r="C30" s="180">
        <f>SUM(C28:C29)</f>
        <v>1243982.4099999999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11806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384318</v>
      </c>
      <c r="D35" s="182">
        <f t="shared" ref="D35:D40" si="1">ROUND((C35/$C$41)*100,1)</f>
        <v>29.7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3506.3300000000163</v>
      </c>
      <c r="D36" s="182">
        <f t="shared" si="1"/>
        <v>0.3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872438</v>
      </c>
      <c r="D37" s="182">
        <f t="shared" si="1"/>
        <v>67.400000000000006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33257</v>
      </c>
      <c r="D39" s="182">
        <f t="shared" si="1"/>
        <v>2.6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1293519.33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Waterville Valley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2017-08-28T11:45:29Z</cp:lastPrinted>
  <dcterms:created xsi:type="dcterms:W3CDTF">1997-12-04T19:04:30Z</dcterms:created>
  <dcterms:modified xsi:type="dcterms:W3CDTF">2017-11-29T18:08:04Z</dcterms:modified>
</cp:coreProperties>
</file>