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F46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C109" i="2" s="1"/>
  <c r="L216" i="1"/>
  <c r="C110" i="2" s="1"/>
  <c r="L217" i="1"/>
  <c r="L218" i="1"/>
  <c r="C112" i="2" s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G650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L276" i="1"/>
  <c r="E109" i="2" s="1"/>
  <c r="L277" i="1"/>
  <c r="E110" i="2" s="1"/>
  <c r="L278" i="1"/>
  <c r="E111" i="2" s="1"/>
  <c r="L279" i="1"/>
  <c r="E112" i="2" s="1"/>
  <c r="L281" i="1"/>
  <c r="E118" i="2" s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E123" i="2" s="1"/>
  <c r="L306" i="1"/>
  <c r="E124" i="2" s="1"/>
  <c r="L307" i="1"/>
  <c r="E125" i="2" s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C131" i="2" s="1"/>
  <c r="L261" i="1"/>
  <c r="C25" i="10" s="1"/>
  <c r="L341" i="1"/>
  <c r="L342" i="1"/>
  <c r="L255" i="1"/>
  <c r="C29" i="10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D56" i="2" s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C11" i="10"/>
  <c r="C12" i="10"/>
  <c r="C13" i="10"/>
  <c r="C15" i="10"/>
  <c r="L250" i="1"/>
  <c r="L332" i="1"/>
  <c r="L254" i="1"/>
  <c r="L268" i="1"/>
  <c r="L269" i="1"/>
  <c r="L349" i="1"/>
  <c r="L350" i="1"/>
  <c r="E143" i="2" s="1"/>
  <c r="I665" i="1"/>
  <c r="I670" i="1"/>
  <c r="L247" i="1"/>
  <c r="F661" i="1"/>
  <c r="H661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D91" i="2" s="1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E113" i="2"/>
  <c r="C114" i="2"/>
  <c r="D115" i="2"/>
  <c r="F115" i="2"/>
  <c r="G115" i="2"/>
  <c r="C119" i="2"/>
  <c r="C125" i="2"/>
  <c r="D127" i="2"/>
  <c r="D128" i="2" s="1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J257" i="1" s="1"/>
  <c r="J271" i="1" s="1"/>
  <c r="K211" i="1"/>
  <c r="K257" i="1" s="1"/>
  <c r="F229" i="1"/>
  <c r="G229" i="1"/>
  <c r="H229" i="1"/>
  <c r="I229" i="1"/>
  <c r="I257" i="1" s="1"/>
  <c r="I271" i="1" s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G338" i="1" s="1"/>
  <c r="G352" i="1" s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F460" i="1"/>
  <c r="G460" i="1"/>
  <c r="H460" i="1"/>
  <c r="I460" i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I545" i="1" s="1"/>
  <c r="J529" i="1"/>
  <c r="J545" i="1" s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J636" i="1" s="1"/>
  <c r="H637" i="1"/>
  <c r="H638" i="1"/>
  <c r="G639" i="1"/>
  <c r="H639" i="1"/>
  <c r="G641" i="1"/>
  <c r="H641" i="1"/>
  <c r="G643" i="1"/>
  <c r="J643" i="1" s="1"/>
  <c r="H643" i="1"/>
  <c r="G644" i="1"/>
  <c r="G645" i="1"/>
  <c r="G651" i="1"/>
  <c r="G652" i="1"/>
  <c r="H652" i="1"/>
  <c r="G653" i="1"/>
  <c r="H653" i="1"/>
  <c r="G654" i="1"/>
  <c r="H654" i="1"/>
  <c r="H655" i="1"/>
  <c r="J655" i="1" s="1"/>
  <c r="L256" i="1"/>
  <c r="C26" i="10"/>
  <c r="L328" i="1"/>
  <c r="H660" i="1" s="1"/>
  <c r="L351" i="1"/>
  <c r="D18" i="13"/>
  <c r="C18" i="13" s="1"/>
  <c r="D17" i="13"/>
  <c r="C17" i="13" s="1"/>
  <c r="G157" i="2"/>
  <c r="G161" i="2"/>
  <c r="G156" i="2"/>
  <c r="G62" i="2"/>
  <c r="D19" i="13"/>
  <c r="C19" i="13" s="1"/>
  <c r="J641" i="1"/>
  <c r="J639" i="1"/>
  <c r="L433" i="1"/>
  <c r="L419" i="1"/>
  <c r="J140" i="1"/>
  <c r="A13" i="12"/>
  <c r="H25" i="13"/>
  <c r="C25" i="13" s="1"/>
  <c r="J651" i="1"/>
  <c r="L560" i="1"/>
  <c r="F552" i="1"/>
  <c r="L570" i="1"/>
  <c r="G36" i="2"/>
  <c r="K551" i="1"/>
  <c r="L614" i="1" l="1"/>
  <c r="K571" i="1"/>
  <c r="J571" i="1"/>
  <c r="I571" i="1"/>
  <c r="H571" i="1"/>
  <c r="F571" i="1"/>
  <c r="K545" i="1"/>
  <c r="I552" i="1"/>
  <c r="K550" i="1"/>
  <c r="K549" i="1"/>
  <c r="G552" i="1"/>
  <c r="H545" i="1"/>
  <c r="J476" i="1"/>
  <c r="H626" i="1" s="1"/>
  <c r="I476" i="1"/>
  <c r="H625" i="1" s="1"/>
  <c r="H476" i="1"/>
  <c r="H624" i="1" s="1"/>
  <c r="J624" i="1" s="1"/>
  <c r="G476" i="1"/>
  <c r="H623" i="1" s="1"/>
  <c r="F476" i="1"/>
  <c r="H622" i="1" s="1"/>
  <c r="J622" i="1" s="1"/>
  <c r="G461" i="1"/>
  <c r="H640" i="1" s="1"/>
  <c r="I452" i="1"/>
  <c r="D29" i="13"/>
  <c r="C29" i="13" s="1"/>
  <c r="D145" i="2"/>
  <c r="K338" i="1"/>
  <c r="K352" i="1" s="1"/>
  <c r="J338" i="1"/>
  <c r="J352" i="1" s="1"/>
  <c r="C10" i="10"/>
  <c r="C132" i="2"/>
  <c r="H33" i="13"/>
  <c r="K271" i="1"/>
  <c r="E16" i="13"/>
  <c r="C16" i="13" s="1"/>
  <c r="C130" i="2"/>
  <c r="F22" i="13"/>
  <c r="C22" i="13" s="1"/>
  <c r="D12" i="13"/>
  <c r="C12" i="13" s="1"/>
  <c r="J645" i="1"/>
  <c r="H192" i="1"/>
  <c r="E103" i="2"/>
  <c r="E78" i="2"/>
  <c r="H140" i="1"/>
  <c r="D62" i="2"/>
  <c r="F192" i="1"/>
  <c r="F18" i="2"/>
  <c r="D50" i="2"/>
  <c r="D31" i="2"/>
  <c r="G545" i="1"/>
  <c r="H552" i="1"/>
  <c r="L534" i="1"/>
  <c r="K503" i="1"/>
  <c r="A40" i="12"/>
  <c r="K598" i="1"/>
  <c r="G647" i="1" s="1"/>
  <c r="J647" i="1" s="1"/>
  <c r="K605" i="1"/>
  <c r="G648" i="1" s="1"/>
  <c r="L565" i="1"/>
  <c r="L571" i="1" s="1"/>
  <c r="J552" i="1"/>
  <c r="L544" i="1"/>
  <c r="L539" i="1"/>
  <c r="K552" i="1"/>
  <c r="L524" i="1"/>
  <c r="H408" i="1"/>
  <c r="H644" i="1" s="1"/>
  <c r="J644" i="1" s="1"/>
  <c r="J640" i="1"/>
  <c r="I461" i="1"/>
  <c r="H642" i="1" s="1"/>
  <c r="L401" i="1"/>
  <c r="C139" i="2" s="1"/>
  <c r="J634" i="1"/>
  <c r="H338" i="1"/>
  <c r="H352" i="1" s="1"/>
  <c r="L309" i="1"/>
  <c r="F338" i="1"/>
  <c r="F352" i="1" s="1"/>
  <c r="C16" i="10"/>
  <c r="E128" i="2"/>
  <c r="L290" i="1"/>
  <c r="A31" i="12"/>
  <c r="E115" i="2"/>
  <c r="H257" i="1"/>
  <c r="H271" i="1" s="1"/>
  <c r="G662" i="1"/>
  <c r="D5" i="13"/>
  <c r="C5" i="13" s="1"/>
  <c r="G257" i="1"/>
  <c r="G271" i="1" s="1"/>
  <c r="C21" i="10"/>
  <c r="I662" i="1"/>
  <c r="C20" i="10"/>
  <c r="C19" i="10"/>
  <c r="C18" i="10"/>
  <c r="C17" i="10"/>
  <c r="C118" i="2"/>
  <c r="F257" i="1"/>
  <c r="F271" i="1" s="1"/>
  <c r="L229" i="1"/>
  <c r="C111" i="2"/>
  <c r="C115" i="2" s="1"/>
  <c r="D7" i="13"/>
  <c r="C7" i="13" s="1"/>
  <c r="G649" i="1"/>
  <c r="J649" i="1" s="1"/>
  <c r="H647" i="1"/>
  <c r="D15" i="13"/>
  <c r="C15" i="13" s="1"/>
  <c r="C124" i="2"/>
  <c r="D14" i="13"/>
  <c r="C14" i="13" s="1"/>
  <c r="C123" i="2"/>
  <c r="C122" i="2"/>
  <c r="E13" i="13"/>
  <c r="C13" i="13" s="1"/>
  <c r="C121" i="2"/>
  <c r="C120" i="2"/>
  <c r="E8" i="13"/>
  <c r="C8" i="13" s="1"/>
  <c r="L211" i="1"/>
  <c r="D6" i="13"/>
  <c r="C6" i="13" s="1"/>
  <c r="I169" i="1"/>
  <c r="F85" i="2"/>
  <c r="F91" i="2" s="1"/>
  <c r="F78" i="2"/>
  <c r="F81" i="2"/>
  <c r="H169" i="1"/>
  <c r="E81" i="2"/>
  <c r="E62" i="2"/>
  <c r="E63" i="2" s="1"/>
  <c r="H112" i="1"/>
  <c r="C35" i="10"/>
  <c r="H664" i="1"/>
  <c r="H667" i="1" s="1"/>
  <c r="I661" i="1"/>
  <c r="D63" i="2"/>
  <c r="C91" i="2"/>
  <c r="F169" i="1"/>
  <c r="C78" i="2"/>
  <c r="C70" i="2"/>
  <c r="C81" i="2"/>
  <c r="F112" i="1"/>
  <c r="C62" i="2"/>
  <c r="C63" i="2" s="1"/>
  <c r="J625" i="1"/>
  <c r="I52" i="1"/>
  <c r="H620" i="1" s="1"/>
  <c r="E31" i="2"/>
  <c r="H52" i="1"/>
  <c r="H619" i="1" s="1"/>
  <c r="J619" i="1" s="1"/>
  <c r="J623" i="1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H648" i="1"/>
  <c r="J652" i="1"/>
  <c r="J642" i="1"/>
  <c r="G571" i="1"/>
  <c r="I434" i="1"/>
  <c r="G434" i="1"/>
  <c r="I663" i="1"/>
  <c r="C27" i="10"/>
  <c r="G635" i="1"/>
  <c r="J635" i="1" s="1"/>
  <c r="J648" i="1" l="1"/>
  <c r="G51" i="2"/>
  <c r="C141" i="2"/>
  <c r="C144" i="2" s="1"/>
  <c r="G660" i="1"/>
  <c r="D31" i="13"/>
  <c r="C31" i="13" s="1"/>
  <c r="L338" i="1"/>
  <c r="L352" i="1" s="1"/>
  <c r="G633" i="1" s="1"/>
  <c r="J633" i="1" s="1"/>
  <c r="E145" i="2"/>
  <c r="F660" i="1"/>
  <c r="G664" i="1"/>
  <c r="G667" i="1" s="1"/>
  <c r="I193" i="1"/>
  <c r="G630" i="1" s="1"/>
  <c r="J630" i="1" s="1"/>
  <c r="H193" i="1"/>
  <c r="G629" i="1" s="1"/>
  <c r="J629" i="1" s="1"/>
  <c r="C39" i="10"/>
  <c r="C36" i="10"/>
  <c r="C104" i="2"/>
  <c r="F193" i="1"/>
  <c r="G627" i="1" s="1"/>
  <c r="J627" i="1" s="1"/>
  <c r="E51" i="2"/>
  <c r="L545" i="1"/>
  <c r="E104" i="2"/>
  <c r="L408" i="1"/>
  <c r="G637" i="1" s="1"/>
  <c r="J637" i="1" s="1"/>
  <c r="H672" i="1"/>
  <c r="C6" i="10" s="1"/>
  <c r="C28" i="10"/>
  <c r="D19" i="10" s="1"/>
  <c r="C128" i="2"/>
  <c r="L257" i="1"/>
  <c r="L271" i="1" s="1"/>
  <c r="G632" i="1" s="1"/>
  <c r="J632" i="1" s="1"/>
  <c r="F664" i="1"/>
  <c r="F672" i="1" s="1"/>
  <c r="C4" i="10" s="1"/>
  <c r="I660" i="1"/>
  <c r="I664" i="1" s="1"/>
  <c r="I672" i="1" s="1"/>
  <c r="C7" i="10" s="1"/>
  <c r="E33" i="13"/>
  <c r="D35" i="13" s="1"/>
  <c r="G104" i="2"/>
  <c r="F104" i="2"/>
  <c r="F51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H646" i="1"/>
  <c r="J646" i="1" s="1"/>
  <c r="G672" i="1"/>
  <c r="C5" i="10" s="1"/>
  <c r="D10" i="10"/>
  <c r="D27" i="10"/>
  <c r="D20" i="10"/>
  <c r="D13" i="10"/>
  <c r="D18" i="10"/>
  <c r="D15" i="10"/>
  <c r="D17" i="10"/>
  <c r="D11" i="10"/>
  <c r="D23" i="10"/>
  <c r="D26" i="10"/>
  <c r="C30" i="10"/>
  <c r="F667" i="1"/>
  <c r="D25" i="10"/>
  <c r="D22" i="10"/>
  <c r="D24" i="10"/>
  <c r="D21" i="10"/>
  <c r="D12" i="10"/>
  <c r="D16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<sst xmlns="http://schemas.openxmlformats.org/spreadsheetml/2006/main" count="3960" uniqueCount="918">
  <si>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</si>
  <si>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</si>
  <si>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</si>
  <si>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</si>
  <si>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</si>
  <si>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</si>
  <si>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</si>
  <si>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</si>
  <si>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</si>
  <si>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</si>
  <si>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</si>
  <si>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</si>
  <si>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</si>
  <si>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</si>
  <si>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</si>
  <si>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</si>
  <si>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</si>
  <si>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</si>
  <si>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</si>
  <si>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</si>
  <si>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</si>
  <si>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</si>
  <si>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</si>
  <si>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</si>
  <si>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</si>
  <si>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</si>
  <si>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</si>
  <si>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</si>
  <si>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</si>
  <si>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</si>
  <si>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</si>
  <si>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</si>
  <si>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</si>
  <si>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</si>
  <si>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</si>
  <si>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</si>
  <si>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</si>
  <si>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</si>
  <si>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</si>
  <si>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</si>
  <si>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</si>
  <si>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</si>
  <si>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</si>
  <si>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</si>
  <si>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</si>
  <si>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</si>
  <si>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</si>
  <si>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</si>
  <si>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</si>
  <si>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</si>
  <si>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</si>
  <si>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</si>
  <si>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</si>
  <si>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</si>
  <si>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</si>
  <si>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</si>
  <si>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</si>
  <si>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</si>
  <si>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</si>
  <si>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</si>
  <si>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</si>
  <si>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</si>
  <si>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</si>
  <si>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</si>
  <si>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</si>
  <si>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</si>
  <si>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</si>
  <si>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</si>
  <si>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</si>
  <si>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</si>
  <si>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</si>
  <si>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</si>
  <si>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</si>
  <si>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</si>
  <si>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</si>
  <si>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</si>
  <si>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</si>
  <si>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</si>
  <si>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</si>
  <si>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</si>
  <si>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</si>
  <si>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</si>
  <si>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</si>
  <si>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</si>
  <si>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</si>
  <si>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</si>
  <si>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</si>
  <si>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</si>
  <si>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</si>
  <si>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</si>
  <si>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</si>
  <si>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</si>
  <si>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</si>
  <si>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</si>
  <si>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</si>
  <si>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</si>
  <si>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</si>
  <si>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</si>
  <si>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</si>
  <si>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</si>
  <si>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</si>
  <si>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</si>
  <si>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</si>
  <si>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</si>
  <si>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</si>
  <si>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</si>
  <si>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</si>
  <si>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</si>
  <si>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</si>
  <si>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</si>
  <si>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</si>
  <si>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</si>
  <si>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</si>
  <si>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</si>
  <si>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</si>
  <si>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</si>
  <si>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</si>
  <si>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</si>
  <si>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</si>
  <si>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</si>
  <si>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</si>
  <si>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</si>
  <si>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</si>
  <si>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</si>
  <si>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</si>
  <si>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</si>
  <si>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</si>
  <si>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</si>
  <si>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</si>
  <si>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</si>
  <si>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</si>
  <si>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</si>
  <si>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</si>
  <si>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</si>
  <si>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</si>
  <si>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</si>
  <si>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</si>
  <si>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</si>
  <si>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</si>
  <si>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</si>
  <si>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</si>
  <si>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</si>
  <si>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</si>
  <si>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</si>
  <si>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</si>
  <si>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</si>
  <si>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</si>
  <si>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</si>
  <si>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</si>
  <si>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</si>
  <si>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</si>
  <si>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</si>
  <si>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</si>
  <si>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</si>
  <si>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</si>
  <si>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</si>
  <si>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</si>
  <si>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</si>
  <si>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</si>
  <si>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</si>
  <si>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</si>
  <si>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</si>
  <si>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</si>
  <si>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</si>
  <si>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</si>
  <si>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</si>
  <si>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</si>
  <si>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</si>
  <si>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</si>
  <si>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</si>
  <si>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</si>
  <si>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</si>
  <si>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</si>
  <si>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</si>
  <si>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</si>
  <si>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</si>
  <si>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</si>
  <si>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</si>
  <si>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</si>
  <si>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</si>
  <si>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</si>
  <si>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</si>
  <si>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</si>
  <si>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</si>
  <si>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</si>
  <si>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</si>
  <si>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</si>
  <si>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</si>
  <si>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</si>
  <si>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</si>
  <si>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</si>
  <si>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</si>
  <si>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</si>
  <si>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</si>
  <si>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</si>
  <si>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</si>
  <si>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</si>
  <si>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</si>
  <si>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</si>
  <si>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</si>
  <si>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</si>
  <si>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</si>
  <si>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</si>
  <si>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</si>
  <si>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</si>
  <si>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</si>
  <si>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</si>
  <si>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</si>
  <si>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</si>
  <si>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</si>
  <si>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</si>
  <si>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</si>
  <si>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</si>
  <si>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</si>
  <si>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</si>
  <si>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</si>
  <si>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</si>
  <si>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</si>
  <si>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</si>
  <si>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</si>
  <si>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</si>
  <si>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</si>
  <si>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</si>
  <si>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</si>
  <si>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</si>
  <si>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</si>
  <si>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</si>
  <si>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</si>
  <si>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</si>
  <si>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</si>
  <si>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</si>
  <si>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</si>
  <si>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</si>
  <si>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</si>
  <si>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</si>
  <si>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</si>
  <si>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</si>
  <si>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</si>
  <si>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</si>
  <si>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</si>
  <si>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</si>
  <si>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</si>
  <si>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</si>
  <si>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</si>
  <si>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</si>
  <si>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</si>
  <si>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</si>
  <si>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</si>
  <si>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</si>
  <si>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</si>
  <si>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</si>
  <si>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</si>
  <si>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</si>
  <si>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</si>
  <si>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</si>
  <si>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</si>
  <si>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</si>
  <si>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</si>
  <si>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</si>
  <si>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</si>
  <si>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</si>
  <si>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</si>
  <si>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</si>
  <si>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</si>
  <si>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</si>
  <si>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</si>
  <si>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</si>
  <si>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</si>
  <si>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</si>
  <si>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</si>
  <si>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</si>
  <si>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</si>
  <si>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</si>
  <si>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</si>
  <si>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</si>
  <si>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</si>
  <si>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</si>
  <si>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</si>
  <si>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</si>
  <si>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</si>
  <si>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</si>
  <si>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</si>
  <si>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</si>
  <si>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</si>
  <si>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</si>
  <si>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</si>
  <si>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</si>
  <si>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</si>
  <si>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</si>
  <si>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</si>
  <si>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</si>
  <si>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</si>
  <si>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</si>
  <si>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</si>
  <si>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</si>
  <si>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</si>
  <si>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</si>
  <si>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</si>
  <si>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</si>
  <si>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</si>
  <si>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</si>
  <si>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</si>
  <si>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</si>
  <si>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</si>
  <si>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</si>
  <si>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</si>
  <si>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</si>
  <si>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</si>
  <si>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</si>
  <si>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</si>
  <si>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</si>
  <si>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</si>
  <si>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</si>
  <si>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</si>
  <si>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</si>
  <si>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</si>
  <si>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</si>
  <si>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</si>
  <si>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</si>
  <si>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</si>
  <si>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</si>
  <si>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</si>
  <si>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</si>
  <si>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</si>
  <si>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</si>
  <si>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</si>
  <si>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</si>
  <si>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</si>
  <si>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</si>
  <si>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</si>
  <si>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</si>
  <si>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</si>
  <si>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</si>
  <si>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</si>
  <si>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</si>
  <si>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</si>
  <si>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</si>
  <si>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</si>
  <si>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</si>
  <si>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</si>
  <si>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</si>
  <si>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</si>
  <si>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</si>
  <si>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</si>
  <si>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</si>
  <si>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</si>
  <si>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</si>
  <si>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</si>
  <si>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</si>
  <si>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</si>
  <si>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</si>
  <si>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</si>
  <si>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</si>
  <si>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</si>
  <si>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</si>
  <si>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</si>
  <si>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</si>
  <si>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</si>
  <si>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</si>
  <si>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</si>
  <si>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</si>
  <si>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</si>
  <si>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</si>
  <si>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</si>
  <si>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</si>
  <si>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</si>
  <si>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</si>
  <si>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</si>
  <si>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</si>
  <si>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</si>
  <si>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</si>
  <si>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</si>
  <si>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</si>
  <si>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</si>
  <si>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</si>
  <si>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</si>
  <si>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</si>
  <si>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</si>
  <si>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</si>
  <si>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</si>
  <si>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</si>
  <si>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</si>
  <si>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</si>
  <si>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</si>
  <si>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</si>
  <si>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</si>
  <si>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</si>
  <si>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</si>
  <si>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</si>
  <si>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</si>
  <si>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</si>
  <si>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</si>
  <si>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</si>
  <si>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</si>
  <si>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</si>
  <si>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</si>
  <si>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</si>
  <si>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</si>
  <si>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</si>
  <si>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</si>
  <si>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</si>
  <si>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</si>
  <si>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</si>
  <si>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</si>
  <si>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</si>
  <si>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</si>
  <si>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</si>
  <si>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</si>
  <si>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</si>
  <si>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</si>
  <si>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</si>
  <si>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</si>
  <si>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</si>
  <si>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</si>
  <si>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</si>
  <si>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</si>
  <si>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</si>
  <si>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</si>
  <si>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</si>
  <si>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</si>
  <si>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</si>
  <si>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</si>
  <si>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</si>
  <si>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</si>
  <si>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</si>
  <si>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</si>
  <si>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</si>
  <si>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</si>
  <si>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</si>
  <si>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</si>
  <si>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</si>
  <si>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</si>
  <si>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</si>
  <si>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</si>
  <si>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</si>
  <si>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</si>
  <si>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</si>
  <si>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</si>
  <si>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</si>
  <si>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</si>
  <si>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</si>
  <si>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</si>
  <si>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</si>
  <si>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</si>
  <si>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</si>
  <si>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</si>
  <si>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</si>
  <si>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</si>
  <si>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</si>
  <si>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</si>
  <si>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</si>
  <si>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</si>
  <si>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</si>
  <si>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</si>
  <si>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</si>
  <si>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</si>
  <si>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</si>
  <si>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</si>
  <si>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</si>
  <si>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</si>
  <si>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</si>
  <si>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</si>
  <si>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</si>
  <si>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</si>
  <si>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</si>
  <si>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</si>
  <si>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</si>
  <si>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</si>
  <si>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</si>
  <si>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</si>
  <si>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</si>
  <si>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</si>
  <si>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</si>
  <si>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</si>
  <si>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</si>
  <si>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</si>
  <si>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</si>
  <si>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</si>
  <si>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</si>
  <si>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</si>
  <si>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</si>
  <si>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</si>
  <si>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</si>
  <si>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</si>
  <si>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</si>
  <si>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</si>
  <si>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</si>
  <si>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</si>
  <si>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</si>
  <si>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</si>
  <si>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</si>
  <si>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</si>
  <si>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</si>
  <si>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</si>
  <si>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</si>
  <si>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</si>
  <si>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</si>
  <si>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</si>
  <si>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</si>
  <si>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</si>
  <si>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</si>
  <si>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</si>
  <si>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</si>
  <si>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</si>
  <si>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</si>
  <si>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</si>
  <si>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</si>
  <si>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</si>
  <si>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</si>
  <si>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</si>
  <si>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</si>
  <si>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</si>
  <si>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</si>
  <si>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</si>
  <si>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</si>
  <si>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</si>
  <si>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</si>
  <si>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</si>
  <si>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</si>
  <si>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</si>
  <si>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</si>
  <si>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</si>
  <si>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</si>
  <si>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</si>
  <si>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</si>
  <si>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</si>
  <si>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</si>
  <si>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</si>
  <si>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</si>
  <si>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</si>
  <si>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</si>
  <si>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</si>
  <si>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</si>
  <si>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</si>
  <si>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</si>
  <si>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</si>
  <si>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</si>
  <si>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</si>
  <si>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</si>
  <si>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</si>
  <si>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</si>
  <si>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</si>
  <si>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</si>
  <si>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</si>
  <si>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</si>
  <si>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</si>
  <si>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</si>
  <si>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</si>
  <si>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</si>
  <si>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</si>
  <si>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</si>
  <si>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</si>
  <si>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</si>
  <si>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</si>
  <si>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</si>
  <si>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</si>
  <si>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</si>
  <si>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</si>
  <si>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</si>
  <si>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</si>
  <si>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</si>
  <si>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</si>
  <si>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</si>
  <si>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</si>
  <si>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</si>
  <si>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</si>
  <si>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</si>
  <si>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</si>
  <si>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</si>
  <si>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</si>
  <si>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</si>
  <si>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</si>
  <si>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</si>
  <si>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</si>
  <si>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</si>
  <si>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</si>
  <si>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</si>
  <si>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</si>
  <si>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</si>
  <si>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</si>
  <si>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</si>
  <si>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</si>
  <si>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</si>
  <si>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</si>
  <si>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</si>
  <si>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</si>
  <si>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</si>
  <si>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</si>
  <si>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</si>
  <si>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</si>
  <si>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</si>
  <si>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</si>
  <si>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</si>
  <si>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</si>
  <si>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</si>
  <si>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</si>
  <si>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</si>
  <si>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</si>
  <si>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</si>
  <si>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</si>
  <si>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</si>
  <si>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</si>
  <si>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</si>
  <si>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</si>
  <si>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</si>
  <si>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</si>
  <si>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</si>
  <si>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</si>
  <si>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</si>
  <si>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</si>
  <si>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</si>
  <si>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</si>
  <si>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</si>
  <si>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</si>
  <si>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</si>
  <si>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</si>
  <si>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</si>
  <si>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</si>
  <si>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</si>
  <si>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</si>
  <si>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</si>
  <si>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</si>
  <si>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</si>
  <si>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</si>
  <si>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</si>
  <si>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</si>
  <si>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</si>
  <si>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</si>
  <si>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</si>
  <si>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</si>
  <si>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</si>
  <si>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</si>
  <si>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</si>
  <si>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</si>
  <si>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</si>
  <si>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</si>
  <si>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</si>
  <si>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</si>
  <si>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</si>
  <si>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</si>
  <si>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</si>
  <si>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</si>
  <si>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</si>
  <si>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</si>
  <si>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</si>
  <si>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</si>
  <si>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</si>
  <si>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</si>
  <si>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</si>
  <si>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</si>
  <si>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</si>
  <si>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</si>
  <si>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</si>
  <si>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</si>
  <si>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</si>
  <si>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</si>
  <si>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</si>
  <si>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</si>
  <si>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</si>
  <si>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</si>
  <si>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</si>
  <si>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</si>
  <si>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</si>
  <si>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</si>
  <si>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</si>
  <si>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</si>
  <si>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</si>
  <si>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</si>
  <si>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</si>
  <si>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</si>
  <si>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</si>
  <si>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</si>
  <si>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</si>
  <si>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</si>
  <si>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</si>
  <si>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</si>
  <si>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</si>
  <si>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</si>
  <si>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</si>
  <si>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</si>
  <si>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</si>
  <si>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</si>
  <si>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</si>
  <si>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</si>
  <si>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</si>
  <si>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</si>
  <si>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</si>
  <si>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</si>
  <si>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</si>
  <si>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</si>
  <si>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</si>
  <si>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</si>
  <si>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</si>
  <si>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</si>
  <si>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</si>
  <si>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</si>
  <si>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</si>
  <si>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</si>
  <si>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</si>
  <si>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</si>
  <si>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</si>
  <si>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</si>
  <si>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</si>
  <si>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</si>
  <si>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</si>
  <si>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</si>
  <si>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</si>
  <si>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</si>
  <si>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</si>
  <si>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</si>
  <si>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</si>
  <si>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</si>
  <si>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</si>
  <si>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</si>
  <si>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</si>
  <si>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</si>
  <si>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</si>
  <si>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</si>
  <si>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</si>
  <si>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</si>
  <si>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</si>
  <si>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</si>
  <si>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</si>
  <si>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</si>
  <si>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</si>
  <si>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</si>
  <si>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</si>
  <si>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</si>
  <si>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</si>
  <si>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</si>
  <si>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</si>
  <si>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</si>
  <si>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</si>
  <si>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</si>
  <si>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</si>
  <si>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</si>
  <si>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</si>
  <si>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</si>
  <si>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</si>
  <si>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</si>
  <si>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</si>
  <si>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</si>
  <si>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</si>
  <si>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</si>
  <si>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</si>
  <si>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</si>
  <si>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</si>
  <si>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</si>
  <si>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</si>
  <si>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</si>
  <si>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</si>
  <si>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</si>
  <si>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</si>
  <si>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</si>
  <si>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</si>
  <si>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</si>
  <si>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</si>
  <si>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</si>
  <si>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</si>
  <si>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</si>
  <si>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</si>
  <si>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</si>
  <si>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</si>
  <si>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</si>
  <si>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</si>
  <si>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</si>
  <si>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</si>
  <si>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</si>
  <si>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</si>
  <si>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</si>
  <si>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</si>
  <si>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</si>
  <si>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</si>
  <si>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</si>
  <si>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</si>
  <si>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</si>
  <si>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</si>
  <si>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</si>
  <si>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</si>
  <si>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</si>
  <si>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</si>
  <si>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</si>
  <si>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</si>
  <si>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</si>
  <si>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</si>
  <si>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</si>
  <si>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</si>
  <si>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</si>
  <si>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</si>
  <si>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</si>
  <si>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</si>
  <si>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</si>
  <si>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</si>
  <si>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</si>
  <si>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</si>
  <si>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</si>
  <si>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</si>
  <si>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</si>
  <si>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</si>
  <si>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</si>
  <si>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</si>
  <si>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</si>
  <si>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</si>
  <si>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</si>
  <si>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</si>
  <si>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</si>
  <si>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</si>
  <si>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</si>
  <si>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</si>
  <si>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</si>
  <si>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</si>
  <si>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</si>
  <si>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</si>
  <si>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</si>
  <si>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</si>
  <si>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</si>
  <si>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</si>
  <si>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</si>
  <si>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</si>
  <si>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</si>
  <si>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</si>
  <si>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</si>
  <si>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</si>
  <si>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</si>
  <si>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</si>
  <si>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</si>
  <si>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</si>
  <si>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</si>
  <si>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</si>
  <si>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</si>
  <si>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</si>
  <si>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</si>
  <si>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</si>
  <si>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</si>
  <si>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</si>
  <si>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</si>
  <si>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</si>
  <si>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</si>
  <si>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</si>
  <si>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</si>
  <si>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</si>
  <si>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</si>
  <si>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</si>
  <si>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</si>
  <si>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</si>
  <si>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</si>
  <si>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</si>
  <si>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</si>
  <si>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</si>
  <si>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</si>
  <si>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</si>
  <si>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</si>
  <si>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</si>
  <si>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</si>
  <si>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</si>
  <si>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</si>
  <si>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</si>
  <si>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</si>
  <si>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</si>
  <si>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</si>
  <si>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</si>
  <si>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</si>
  <si>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</si>
  <si>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</si>
  <si>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</si>
  <si>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</si>
  <si>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</si>
  <si>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</si>
  <si>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</si>
  <si>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</si>
  <si>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</si>
  <si>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</si>
  <si>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</si>
  <si>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</si>
  <si>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</si>
  <si>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</si>
  <si>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</si>
  <si>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</si>
  <si>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</si>
  <si>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</si>
  <si>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</si>
  <si>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</si>
  <si>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</si>
  <si>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</si>
  <si>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</si>
  <si>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</si>
  <si>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</si>
  <si>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</si>
  <si>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</si>
  <si>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</si>
  <si>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</si>
  <si>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</si>
  <si>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</si>
  <si>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</si>
  <si>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</si>
  <si>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</si>
  <si>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</si>
  <si>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</si>
  <si>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</si>
  <si>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</si>
  <si>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</si>
  <si>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</si>
  <si>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</si>
  <si>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</si>
  <si>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</si>
  <si>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</si>
  <si>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</si>
  <si>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</si>
  <si>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</si>
  <si>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</si>
  <si>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</si>
  <si>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</si>
  <si>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WEARE SCHOOL DISTRICT</t>
  </si>
  <si>
    <t>8/1/2015</t>
  </si>
  <si>
    <t>6/30/2026</t>
  </si>
  <si>
    <t>AFTER SCHOOL PROGRAM CLOSED</t>
  </si>
  <si>
    <t>DEFERRED REVENUE</t>
  </si>
  <si>
    <t>DIFF BETWEEN LIABS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</si>
</sst>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5" sqref="H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555</v>
      </c>
      <c r="C2" s="21">
        <v>555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471935.83</v>
      </c>
      <c r="G9" s="18">
        <v>138248.09</v>
      </c>
      <c r="H9" s="18">
        <v>-27580.66</v>
      </c>
      <c r="I9" s="18">
        <v>0</v>
      </c>
      <c r="J9" s="67">
        <f>SUM(I439)</f>
        <v>269252.37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0</v>
      </c>
      <c r="G12" s="18">
        <v>2161.6</v>
      </c>
      <c r="H12" s="18">
        <v>0</v>
      </c>
      <c r="I12" s="18">
        <v>0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4119.3599999999997</v>
      </c>
      <c r="G13" s="18">
        <v>7861.56</v>
      </c>
      <c r="H13" s="18">
        <v>27580.66</v>
      </c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22790.799999999999</v>
      </c>
      <c r="G14" s="18">
        <v>4802.49</v>
      </c>
      <c r="H14" s="18">
        <v>0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498845.99</v>
      </c>
      <c r="G19" s="41">
        <f>SUM(G9:G18)</f>
        <v>153073.74</v>
      </c>
      <c r="H19" s="41">
        <f>SUM(H9:H18)</f>
        <v>0</v>
      </c>
      <c r="I19" s="41">
        <f>SUM(I9:I18)</f>
        <v>0</v>
      </c>
      <c r="J19" s="41">
        <f>SUM(J9:J18)</f>
        <v>269252.37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750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4669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95055</v>
      </c>
      <c r="G25" s="145">
        <v>0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9951.31</v>
      </c>
      <c r="G28" s="18">
        <v>0</v>
      </c>
      <c r="H28" s="18">
        <v>0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25111.98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10026.469999999999</v>
      </c>
      <c r="H30" s="18">
        <v>0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135537.29</v>
      </c>
      <c r="G32" s="41">
        <f>SUM(G22:G31)</f>
        <v>10026.469999999999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>
        <v>0</v>
      </c>
      <c r="H39" s="18">
        <v>0</v>
      </c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0</v>
      </c>
      <c r="G44" s="18"/>
      <c r="H44" s="18"/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v>143047.26999999999</v>
      </c>
      <c r="H48" s="18">
        <v>0</v>
      </c>
      <c r="I48" s="18">
        <v>0</v>
      </c>
      <c r="J48" s="13">
        <f>SUM(I459)</f>
        <v>269252.37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363308.7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363308.7</v>
      </c>
      <c r="G51" s="41">
        <f>SUM(G35:G50)</f>
        <v>143047.26999999999</v>
      </c>
      <c r="H51" s="41">
        <f>SUM(H35:H50)</f>
        <v>0</v>
      </c>
      <c r="I51" s="41">
        <f>SUM(I35:I50)</f>
        <v>0</v>
      </c>
      <c r="J51" s="41">
        <f>SUM(J35:J50)</f>
        <v>269252.37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498845.99</v>
      </c>
      <c r="G52" s="41">
        <f>G51+G32</f>
        <v>153073.74</v>
      </c>
      <c r="H52" s="41">
        <f>H51+H32</f>
        <v>0</v>
      </c>
      <c r="I52" s="41">
        <f>I51+I32</f>
        <v>0</v>
      </c>
      <c r="J52" s="41">
        <f>J51+J32</f>
        <v>269252.37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7589318</v>
      </c>
      <c r="G57" s="18">
        <v>36846</v>
      </c>
      <c r="H57" s="18">
        <v>0</v>
      </c>
      <c r="I57" s="18">
        <v>0</v>
      </c>
      <c r="J57" s="18">
        <v>0</v>
      </c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7589318</v>
      </c>
      <c r="G60" s="41">
        <f>SUM(G57:G59)</f>
        <v>36846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18441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125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0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0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19645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18566</v>
      </c>
      <c r="G79" s="45" t="s">
        <v>288</v>
      </c>
      <c r="H79" s="41">
        <f>SUM(H63:H78)</f>
        <v>19645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85088.17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85088.17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663.36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212163.13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>
        <v>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900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548.62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9131.9500000000007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40310.68</v>
      </c>
      <c r="G110" s="18">
        <v>4802.49</v>
      </c>
      <c r="H110" s="18">
        <v>0</v>
      </c>
      <c r="I110" s="18">
        <v>0</v>
      </c>
      <c r="J110" s="18">
        <v>0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50891.25</v>
      </c>
      <c r="G111" s="41">
        <f>SUM(G96:G110)</f>
        <v>216965.62</v>
      </c>
      <c r="H111" s="41">
        <f>SUM(H96:H110)</f>
        <v>0</v>
      </c>
      <c r="I111" s="41">
        <f>SUM(I96:I110)</f>
        <v>0</v>
      </c>
      <c r="J111" s="41">
        <f>SUM(J96:J110)</f>
        <v>663.36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7743863.4199999999</v>
      </c>
      <c r="G112" s="41">
        <f>G60+G111</f>
        <v>253811.62</v>
      </c>
      <c r="H112" s="41">
        <f>H60+H79+H94+H111</f>
        <v>19645</v>
      </c>
      <c r="I112" s="41">
        <f>I60+I111</f>
        <v>0</v>
      </c>
      <c r="J112" s="41">
        <f>J60+J111</f>
        <v>663.36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4641064.4800000004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1151692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5792756.4800000004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369686.39</v>
      </c>
      <c r="G123" s="24" t="s">
        <v>288</v>
      </c>
      <c r="H123" s="24" t="s">
        <v>288</v>
      </c>
      <c r="I123" s="18">
        <v>0</v>
      </c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46170.09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0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0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4918.29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415856.48</v>
      </c>
      <c r="G136" s="41">
        <f>SUM(G123:G135)</f>
        <v>4918.29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6208612.9600000009</v>
      </c>
      <c r="G140" s="41">
        <f>G121+SUM(G136:G137)</f>
        <v>4918.29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0</v>
      </c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0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35997.870000000003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0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106085.37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0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132473.9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132473.9</v>
      </c>
      <c r="G162" s="41">
        <f>SUM(G150:G161)</f>
        <v>106085.37</v>
      </c>
      <c r="H162" s="41">
        <f>SUM(H150:H161)</f>
        <v>35997.870000000003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132473.9</v>
      </c>
      <c r="G169" s="41">
        <f>G147+G162+SUM(G163:G168)</f>
        <v>106085.37</v>
      </c>
      <c r="H169" s="41">
        <f>H147+H162+SUM(H163:H168)</f>
        <v>35997.870000000003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0</v>
      </c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0</v>
      </c>
      <c r="H179" s="18">
        <v>0</v>
      </c>
      <c r="I179" s="18">
        <v>0</v>
      </c>
      <c r="J179" s="18">
        <v>50000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>
        <v>0</v>
      </c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>
        <v>0</v>
      </c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14084950.280000001</v>
      </c>
      <c r="G193" s="47">
        <f>G112+G140+G169+G192</f>
        <v>364815.28</v>
      </c>
      <c r="H193" s="47">
        <f>H112+H140+H169+H192</f>
        <v>55642.87</v>
      </c>
      <c r="I193" s="47">
        <f>I112+I140+I169+I192</f>
        <v>0</v>
      </c>
      <c r="J193" s="47">
        <f>J112+J140+J192</f>
        <v>50663.360000000001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1979335.16</v>
      </c>
      <c r="G197" s="18">
        <v>969224.25</v>
      </c>
      <c r="H197" s="18">
        <v>43018.02</v>
      </c>
      <c r="I197" s="18">
        <v>114268.75</v>
      </c>
      <c r="J197" s="18">
        <v>25084.67</v>
      </c>
      <c r="K197" s="18">
        <v>250</v>
      </c>
      <c r="L197" s="19">
        <f>SUM(F197:K197)</f>
        <v>3131180.85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927204.7</v>
      </c>
      <c r="G198" s="18">
        <v>308209.09000000003</v>
      </c>
      <c r="H198" s="18">
        <v>133802.9</v>
      </c>
      <c r="I198" s="18">
        <v>13046.12</v>
      </c>
      <c r="J198" s="18">
        <v>2785.8</v>
      </c>
      <c r="K198" s="18">
        <v>8367.26</v>
      </c>
      <c r="L198" s="19">
        <f>SUM(F198:K198)</f>
        <v>1393415.87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29763.57</v>
      </c>
      <c r="G200" s="18">
        <v>6641.38</v>
      </c>
      <c r="H200" s="18">
        <v>0</v>
      </c>
      <c r="I200" s="18">
        <v>31.79</v>
      </c>
      <c r="J200" s="18">
        <v>0</v>
      </c>
      <c r="K200" s="18">
        <v>0</v>
      </c>
      <c r="L200" s="19">
        <f>SUM(F200:K200)</f>
        <v>36436.74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274788.64</v>
      </c>
      <c r="G202" s="18">
        <v>128700.81</v>
      </c>
      <c r="H202" s="18">
        <v>67868.75</v>
      </c>
      <c r="I202" s="18">
        <v>6203.38</v>
      </c>
      <c r="J202" s="18">
        <v>2275.3000000000002</v>
      </c>
      <c r="K202" s="18">
        <v>0</v>
      </c>
      <c r="L202" s="19">
        <f t="shared" ref="L202:L208" si="0">SUM(F202:K202)</f>
        <v>479836.88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118207</v>
      </c>
      <c r="G203" s="18">
        <v>71535.27</v>
      </c>
      <c r="H203" s="18">
        <v>8068.75</v>
      </c>
      <c r="I203" s="18">
        <v>8253.33</v>
      </c>
      <c r="J203" s="18">
        <v>69164.429999999993</v>
      </c>
      <c r="K203" s="18">
        <v>25524.59</v>
      </c>
      <c r="L203" s="19">
        <f t="shared" si="0"/>
        <v>300753.37000000005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4250</v>
      </c>
      <c r="G204" s="18">
        <v>20446.189999999999</v>
      </c>
      <c r="H204" s="18">
        <v>321704.25</v>
      </c>
      <c r="I204" s="18">
        <v>1567.73</v>
      </c>
      <c r="J204" s="18">
        <v>0</v>
      </c>
      <c r="K204" s="18">
        <v>5172.8500000000004</v>
      </c>
      <c r="L204" s="19">
        <f t="shared" si="0"/>
        <v>353141.01999999996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309967.09000000003</v>
      </c>
      <c r="G205" s="18">
        <v>137266.04999999999</v>
      </c>
      <c r="H205" s="18">
        <v>21124.71</v>
      </c>
      <c r="I205" s="18">
        <v>2008.64</v>
      </c>
      <c r="J205" s="18">
        <v>390</v>
      </c>
      <c r="K205" s="18">
        <v>1635</v>
      </c>
      <c r="L205" s="19">
        <f t="shared" si="0"/>
        <v>472391.49000000005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55115.05</v>
      </c>
      <c r="G207" s="18">
        <v>17038.169999999998</v>
      </c>
      <c r="H207" s="18">
        <v>398649.93</v>
      </c>
      <c r="I207" s="18">
        <v>101123.45</v>
      </c>
      <c r="J207" s="18">
        <v>8595</v>
      </c>
      <c r="K207" s="18">
        <v>0</v>
      </c>
      <c r="L207" s="19">
        <f t="shared" si="0"/>
        <v>580521.6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453445.99</v>
      </c>
      <c r="I208" s="18">
        <v>0</v>
      </c>
      <c r="J208" s="18">
        <v>0</v>
      </c>
      <c r="K208" s="18">
        <v>0</v>
      </c>
      <c r="L208" s="19">
        <f t="shared" si="0"/>
        <v>453445.99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3698631.2099999995</v>
      </c>
      <c r="G211" s="41">
        <f t="shared" si="1"/>
        <v>1659061.21</v>
      </c>
      <c r="H211" s="41">
        <f t="shared" si="1"/>
        <v>1447683.2999999998</v>
      </c>
      <c r="I211" s="41">
        <f t="shared" si="1"/>
        <v>246503.19</v>
      </c>
      <c r="J211" s="41">
        <f t="shared" si="1"/>
        <v>108295.19999999998</v>
      </c>
      <c r="K211" s="41">
        <f t="shared" si="1"/>
        <v>40949.699999999997</v>
      </c>
      <c r="L211" s="41">
        <f t="shared" si="1"/>
        <v>7201123.8100000005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1474034.33</v>
      </c>
      <c r="G215" s="18">
        <v>716050.61</v>
      </c>
      <c r="H215" s="18">
        <v>25079.74</v>
      </c>
      <c r="I215" s="18">
        <v>110135.77</v>
      </c>
      <c r="J215" s="18">
        <v>47828.06</v>
      </c>
      <c r="K215" s="18">
        <v>388</v>
      </c>
      <c r="L215" s="19">
        <f>SUM(F215:K215)</f>
        <v>2373516.5100000002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575552.75</v>
      </c>
      <c r="G216" s="18">
        <v>197580.3</v>
      </c>
      <c r="H216" s="18">
        <v>145785.81</v>
      </c>
      <c r="I216" s="18">
        <v>7139.92</v>
      </c>
      <c r="J216" s="18">
        <v>1875.78</v>
      </c>
      <c r="K216" s="18">
        <v>4576.08</v>
      </c>
      <c r="L216" s="19">
        <f>SUM(F216:K216)</f>
        <v>932510.64000000013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108289.43</v>
      </c>
      <c r="I217" s="18">
        <v>0</v>
      </c>
      <c r="J217" s="18">
        <v>0</v>
      </c>
      <c r="K217" s="18">
        <v>0</v>
      </c>
      <c r="L217" s="19">
        <f>SUM(F217:K217)</f>
        <v>108289.43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52399.7</v>
      </c>
      <c r="G218" s="18">
        <v>10504.2</v>
      </c>
      <c r="H218" s="18">
        <v>0</v>
      </c>
      <c r="I218" s="18">
        <v>3203.45</v>
      </c>
      <c r="J218" s="18">
        <v>0</v>
      </c>
      <c r="K218" s="18">
        <v>6162</v>
      </c>
      <c r="L218" s="19">
        <f>SUM(F218:K218)</f>
        <v>72269.349999999991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300290.69</v>
      </c>
      <c r="G220" s="18">
        <v>156040.51999999999</v>
      </c>
      <c r="H220" s="18">
        <v>4387.4799999999996</v>
      </c>
      <c r="I220" s="18">
        <v>2543.86</v>
      </c>
      <c r="J220" s="18">
        <v>4564.2700000000004</v>
      </c>
      <c r="K220" s="18">
        <v>0</v>
      </c>
      <c r="L220" s="19">
        <f t="shared" ref="L220:L226" si="2">SUM(F220:K220)</f>
        <v>467826.81999999995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113609.96</v>
      </c>
      <c r="G221" s="18">
        <v>65349.52</v>
      </c>
      <c r="H221" s="18">
        <v>6792.61</v>
      </c>
      <c r="I221" s="18">
        <v>13160.78</v>
      </c>
      <c r="J221" s="18">
        <v>73710.69</v>
      </c>
      <c r="K221" s="18">
        <v>44820.44</v>
      </c>
      <c r="L221" s="19">
        <f t="shared" si="2"/>
        <v>317444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4250</v>
      </c>
      <c r="G222" s="18">
        <v>20446.060000000001</v>
      </c>
      <c r="H222" s="18">
        <v>218253.81</v>
      </c>
      <c r="I222" s="18">
        <v>226.74</v>
      </c>
      <c r="J222" s="18">
        <v>0</v>
      </c>
      <c r="K222" s="18">
        <v>5324.41</v>
      </c>
      <c r="L222" s="19">
        <f t="shared" si="2"/>
        <v>248501.02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258597.08</v>
      </c>
      <c r="G223" s="18">
        <v>89429.08</v>
      </c>
      <c r="H223" s="18">
        <v>16867.599999999999</v>
      </c>
      <c r="I223" s="18">
        <v>1401.55</v>
      </c>
      <c r="J223" s="18">
        <v>0</v>
      </c>
      <c r="K223" s="18">
        <v>1763</v>
      </c>
      <c r="L223" s="19">
        <f t="shared" si="2"/>
        <v>368058.30999999994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173579.55</v>
      </c>
      <c r="G225" s="18">
        <v>62685.22</v>
      </c>
      <c r="H225" s="18">
        <v>216093.24</v>
      </c>
      <c r="I225" s="18">
        <v>247576.46</v>
      </c>
      <c r="J225" s="18">
        <v>2049.9699999999998</v>
      </c>
      <c r="K225" s="18">
        <v>0</v>
      </c>
      <c r="L225" s="19">
        <f t="shared" si="2"/>
        <v>701984.44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378945.07</v>
      </c>
      <c r="I226" s="18">
        <v>0</v>
      </c>
      <c r="J226" s="18">
        <v>0</v>
      </c>
      <c r="K226" s="18">
        <v>0</v>
      </c>
      <c r="L226" s="19">
        <f t="shared" si="2"/>
        <v>378945.07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/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2952314.06</v>
      </c>
      <c r="G229" s="41">
        <f>SUM(G215:G228)</f>
        <v>1318085.51</v>
      </c>
      <c r="H229" s="41">
        <f>SUM(H215:H228)</f>
        <v>1120494.79</v>
      </c>
      <c r="I229" s="41">
        <f>SUM(I215:I228)</f>
        <v>385388.52999999997</v>
      </c>
      <c r="J229" s="41">
        <f>SUM(J215:J228)</f>
        <v>130028.77</v>
      </c>
      <c r="K229" s="41">
        <f t="shared" si="3"/>
        <v>63033.930000000008</v>
      </c>
      <c r="L229" s="41">
        <f t="shared" si="3"/>
        <v>5969345.5899999999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6650945.2699999996</v>
      </c>
      <c r="G257" s="41">
        <f t="shared" si="8"/>
        <v>2977146.7199999997</v>
      </c>
      <c r="H257" s="41">
        <f t="shared" si="8"/>
        <v>2568178.09</v>
      </c>
      <c r="I257" s="41">
        <f t="shared" si="8"/>
        <v>631891.72</v>
      </c>
      <c r="J257" s="41">
        <f t="shared" si="8"/>
        <v>238323.96999999997</v>
      </c>
      <c r="K257" s="41">
        <f t="shared" si="8"/>
        <v>103983.63</v>
      </c>
      <c r="L257" s="41">
        <f t="shared" si="8"/>
        <v>13170469.4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910000</v>
      </c>
      <c r="L260" s="19">
        <f>SUM(F260:K260)</f>
        <v>910000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159199.44</v>
      </c>
      <c r="L261" s="19">
        <f>SUM(F261:K261)</f>
        <v>159199.44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1119199.44</v>
      </c>
      <c r="L270" s="41">
        <f t="shared" si="9"/>
        <v>1119199.44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6650945.2699999996</v>
      </c>
      <c r="G271" s="42">
        <f t="shared" si="11"/>
        <v>2977146.7199999997</v>
      </c>
      <c r="H271" s="42">
        <f t="shared" si="11"/>
        <v>2568178.09</v>
      </c>
      <c r="I271" s="42">
        <f t="shared" si="11"/>
        <v>631891.72</v>
      </c>
      <c r="J271" s="42">
        <f t="shared" si="11"/>
        <v>238323.96999999997</v>
      </c>
      <c r="K271" s="42">
        <f t="shared" si="11"/>
        <v>1223183.0699999998</v>
      </c>
      <c r="L271" s="42">
        <f t="shared" si="11"/>
        <v>14289668.84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24500</v>
      </c>
      <c r="G282" s="18">
        <v>5457.63</v>
      </c>
      <c r="H282" s="18">
        <v>4970.8</v>
      </c>
      <c r="I282" s="18">
        <v>0</v>
      </c>
      <c r="J282" s="18">
        <v>0</v>
      </c>
      <c r="K282" s="18">
        <v>1069.44</v>
      </c>
      <c r="L282" s="19">
        <f t="shared" si="12"/>
        <v>35997.870000000003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24500</v>
      </c>
      <c r="G290" s="42">
        <f t="shared" si="13"/>
        <v>5457.63</v>
      </c>
      <c r="H290" s="42">
        <f t="shared" si="13"/>
        <v>4970.8</v>
      </c>
      <c r="I290" s="42">
        <f t="shared" si="13"/>
        <v>0</v>
      </c>
      <c r="J290" s="42">
        <f t="shared" si="13"/>
        <v>0</v>
      </c>
      <c r="K290" s="42">
        <f t="shared" si="13"/>
        <v>1069.44</v>
      </c>
      <c r="L290" s="41">
        <f t="shared" si="13"/>
        <v>35997.870000000003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18248.98</v>
      </c>
      <c r="G298" s="18">
        <v>1396.02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19645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/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18248.98</v>
      </c>
      <c r="G309" s="42">
        <f t="shared" si="15"/>
        <v>1396.02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19645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42748.979999999996</v>
      </c>
      <c r="G338" s="41">
        <f t="shared" si="20"/>
        <v>6853.65</v>
      </c>
      <c r="H338" s="41">
        <f t="shared" si="20"/>
        <v>4970.8</v>
      </c>
      <c r="I338" s="41">
        <f t="shared" si="20"/>
        <v>0</v>
      </c>
      <c r="J338" s="41">
        <f t="shared" si="20"/>
        <v>0</v>
      </c>
      <c r="K338" s="41">
        <f t="shared" si="20"/>
        <v>1069.44</v>
      </c>
      <c r="L338" s="41">
        <f t="shared" si="20"/>
        <v>55642.87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42748.979999999996</v>
      </c>
      <c r="G352" s="41">
        <f>G338</f>
        <v>6853.65</v>
      </c>
      <c r="H352" s="41">
        <f>H338</f>
        <v>4970.8</v>
      </c>
      <c r="I352" s="41">
        <f>I338</f>
        <v>0</v>
      </c>
      <c r="J352" s="41">
        <f>J338</f>
        <v>0</v>
      </c>
      <c r="K352" s="47">
        <f>K338+K351</f>
        <v>1069.44</v>
      </c>
      <c r="L352" s="41">
        <f>L338+L351</f>
        <v>55642.87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0</v>
      </c>
      <c r="G358" s="18">
        <v>0</v>
      </c>
      <c r="H358" s="18">
        <v>160560.93</v>
      </c>
      <c r="I358" s="18">
        <v>0</v>
      </c>
      <c r="J358" s="18">
        <v>42851.78</v>
      </c>
      <c r="K358" s="18">
        <v>40.200000000000003</v>
      </c>
      <c r="L358" s="13">
        <f>SUM(F358:K358)</f>
        <v>203452.91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0</v>
      </c>
      <c r="G359" s="18">
        <v>0</v>
      </c>
      <c r="H359" s="18">
        <v>162129.16</v>
      </c>
      <c r="I359" s="18">
        <v>0</v>
      </c>
      <c r="J359" s="18">
        <v>5137.22</v>
      </c>
      <c r="K359" s="18">
        <v>2621.04</v>
      </c>
      <c r="L359" s="19">
        <f>SUM(F359:K359)</f>
        <v>169887.42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322690.08999999997</v>
      </c>
      <c r="I362" s="47">
        <f t="shared" si="22"/>
        <v>0</v>
      </c>
      <c r="J362" s="47">
        <f t="shared" si="22"/>
        <v>47989</v>
      </c>
      <c r="K362" s="47">
        <f t="shared" si="22"/>
        <v>2661.24</v>
      </c>
      <c r="L362" s="47">
        <f t="shared" si="22"/>
        <v>373340.33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0</v>
      </c>
      <c r="G367" s="18">
        <v>0</v>
      </c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0</v>
      </c>
      <c r="G368" s="63">
        <v>0</v>
      </c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146.99</v>
      </c>
      <c r="I389" s="18"/>
      <c r="J389" s="24" t="s">
        <v>288</v>
      </c>
      <c r="K389" s="24" t="s">
        <v>288</v>
      </c>
      <c r="L389" s="56">
        <f t="shared" si="25"/>
        <v>146.99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146.99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146.99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25000</v>
      </c>
      <c r="H396" s="18">
        <v>241.11</v>
      </c>
      <c r="I396" s="18"/>
      <c r="J396" s="24" t="s">
        <v>288</v>
      </c>
      <c r="K396" s="24" t="s">
        <v>288</v>
      </c>
      <c r="L396" s="56">
        <f t="shared" si="26"/>
        <v>25241.11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>
        <v>25000</v>
      </c>
      <c r="H397" s="18">
        <v>243.31</v>
      </c>
      <c r="I397" s="18"/>
      <c r="J397" s="24" t="s">
        <v>288</v>
      </c>
      <c r="K397" s="24" t="s">
        <v>288</v>
      </c>
      <c r="L397" s="56">
        <f t="shared" si="26"/>
        <v>25243.31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31.95</v>
      </c>
      <c r="I400" s="18"/>
      <c r="J400" s="24" t="s">
        <v>288</v>
      </c>
      <c r="K400" s="24" t="s">
        <v>288</v>
      </c>
      <c r="L400" s="56">
        <f t="shared" si="26"/>
        <v>31.95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516.37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50516.369999999995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663.36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50663.359999999993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>
        <v>0</v>
      </c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>
        <v>269252.37</v>
      </c>
      <c r="H439" s="18"/>
      <c r="I439" s="56">
        <f t="shared" ref="I439:I445" si="33">SUM(F439:H439)</f>
        <v>269252.37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269252.37</v>
      </c>
      <c r="H446" s="13">
        <f>SUM(H439:H445)</f>
        <v>0</v>
      </c>
      <c r="I446" s="13">
        <f>SUM(I439:I445)</f>
        <v>269252.37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269252.37</v>
      </c>
      <c r="H459" s="18"/>
      <c r="I459" s="56">
        <f t="shared" si="34"/>
        <v>269252.37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269252.37</v>
      </c>
      <c r="H460" s="83">
        <f>SUM(H454:H459)</f>
        <v>0</v>
      </c>
      <c r="I460" s="83">
        <f>SUM(I454:I459)</f>
        <v>269252.37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269252.37</v>
      </c>
      <c r="H461" s="42">
        <f>H452+H460</f>
        <v>0</v>
      </c>
      <c r="I461" s="42">
        <f>I452+I460</f>
        <v>269252.37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553062.53</v>
      </c>
      <c r="G465" s="18">
        <v>141341.51</v>
      </c>
      <c r="H465" s="18">
        <v>3901.3</v>
      </c>
      <c r="I465" s="18">
        <v>0</v>
      </c>
      <c r="J465" s="18">
        <v>218589.01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14084950.279999999</v>
      </c>
      <c r="G468" s="18">
        <v>364815.28</v>
      </c>
      <c r="H468" s="18">
        <v>55642.87</v>
      </c>
      <c r="I468" s="18">
        <v>0</v>
      </c>
      <c r="J468" s="18">
        <v>50663.360000000001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f>3901.3+11063.43</f>
        <v>14964.73</v>
      </c>
      <c r="G469" s="18">
        <v>10230.81</v>
      </c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14099915.01</v>
      </c>
      <c r="G470" s="53">
        <f>SUM(G468:G469)</f>
        <v>375046.09</v>
      </c>
      <c r="H470" s="53">
        <f>SUM(H468:H469)</f>
        <v>55642.87</v>
      </c>
      <c r="I470" s="53">
        <f>SUM(I468:I469)</f>
        <v>0</v>
      </c>
      <c r="J470" s="53">
        <f>SUM(J468:J469)</f>
        <v>50663.360000000001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14289668.84</v>
      </c>
      <c r="G472" s="18">
        <v>373340.33</v>
      </c>
      <c r="H472" s="18">
        <v>55642.87</v>
      </c>
      <c r="I472" s="18">
        <v>0</v>
      </c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>
        <v>3901.3</v>
      </c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14289668.84</v>
      </c>
      <c r="G474" s="53">
        <f>SUM(G472:G473)</f>
        <v>373340.33</v>
      </c>
      <c r="H474" s="53">
        <f>SUM(H472:H473)</f>
        <v>59544.170000000006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363308.69999999925</v>
      </c>
      <c r="G476" s="53">
        <f>(G465+G470)- G474</f>
        <v>143047.27000000002</v>
      </c>
      <c r="H476" s="53">
        <f>(H465+H470)- H474</f>
        <v>0</v>
      </c>
      <c r="I476" s="53">
        <f>(I465+I470)- I474</f>
        <v>0</v>
      </c>
      <c r="J476" s="53">
        <f>(J465+J470)- J474</f>
        <v>269252.37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916</v>
      </c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917</v>
      </c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10217500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1.88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9100000</v>
      </c>
      <c r="G495" s="18"/>
      <c r="H495" s="18"/>
      <c r="I495" s="18"/>
      <c r="J495" s="18"/>
      <c r="K495" s="53">
        <f>SUM(F495:J495)</f>
        <v>9100000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910000</v>
      </c>
      <c r="G497" s="18">
        <v>0</v>
      </c>
      <c r="H497" s="18"/>
      <c r="I497" s="18"/>
      <c r="J497" s="18"/>
      <c r="K497" s="53">
        <f t="shared" si="35"/>
        <v>910000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8190000</v>
      </c>
      <c r="G498" s="204"/>
      <c r="H498" s="204"/>
      <c r="I498" s="204"/>
      <c r="J498" s="204"/>
      <c r="K498" s="205">
        <f t="shared" si="35"/>
        <v>8190000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696200.56</v>
      </c>
      <c r="G499" s="18"/>
      <c r="H499" s="18"/>
      <c r="I499" s="18"/>
      <c r="J499" s="18"/>
      <c r="K499" s="53">
        <f t="shared" si="35"/>
        <v>696200.56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8886200.5600000005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8886200.5600000005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910000</v>
      </c>
      <c r="G501" s="204"/>
      <c r="H501" s="204"/>
      <c r="I501" s="204"/>
      <c r="J501" s="204"/>
      <c r="K501" s="205">
        <f t="shared" si="35"/>
        <v>910000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145418</v>
      </c>
      <c r="G502" s="18"/>
      <c r="H502" s="18"/>
      <c r="I502" s="18"/>
      <c r="J502" s="18"/>
      <c r="K502" s="53">
        <f t="shared" si="35"/>
        <v>145418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1055418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1055418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645873.28</v>
      </c>
      <c r="G521" s="18">
        <v>234259.86</v>
      </c>
      <c r="H521" s="18">
        <v>64047.519999999997</v>
      </c>
      <c r="I521" s="18">
        <v>12331.66</v>
      </c>
      <c r="J521" s="18">
        <v>2785.8</v>
      </c>
      <c r="K521" s="18">
        <v>6010.96</v>
      </c>
      <c r="L521" s="88">
        <f>SUM(F521:K521)</f>
        <v>965309.08000000007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575552.75</v>
      </c>
      <c r="G522" s="18">
        <v>197580.3</v>
      </c>
      <c r="H522" s="18">
        <v>145785.81</v>
      </c>
      <c r="I522" s="18">
        <v>7139.92</v>
      </c>
      <c r="J522" s="18">
        <v>1875.78</v>
      </c>
      <c r="K522" s="18">
        <v>4576.08</v>
      </c>
      <c r="L522" s="88">
        <f>SUM(F522:K522)</f>
        <v>932510.64000000013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>
        <v>0</v>
      </c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1221426.03</v>
      </c>
      <c r="G524" s="108">
        <f t="shared" ref="G524:L524" si="36">SUM(G521:G523)</f>
        <v>431840.16</v>
      </c>
      <c r="H524" s="108">
        <f t="shared" si="36"/>
        <v>209833.33</v>
      </c>
      <c r="I524" s="108">
        <f t="shared" si="36"/>
        <v>19471.580000000002</v>
      </c>
      <c r="J524" s="108">
        <f t="shared" si="36"/>
        <v>4661.58</v>
      </c>
      <c r="K524" s="108">
        <f t="shared" si="36"/>
        <v>10587.04</v>
      </c>
      <c r="L524" s="89">
        <f t="shared" si="36"/>
        <v>1897819.7200000002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142097.64000000001</v>
      </c>
      <c r="G526" s="18">
        <v>61980.05</v>
      </c>
      <c r="H526" s="18">
        <v>66656.25</v>
      </c>
      <c r="I526" s="18">
        <v>2161.5500000000002</v>
      </c>
      <c r="J526" s="18">
        <v>1936.15</v>
      </c>
      <c r="K526" s="18">
        <v>0</v>
      </c>
      <c r="L526" s="88">
        <f>SUM(F526:K526)</f>
        <v>274831.64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109867.43</v>
      </c>
      <c r="G527" s="18">
        <v>71364.02</v>
      </c>
      <c r="H527" s="18">
        <v>4183.4799999999996</v>
      </c>
      <c r="I527" s="18">
        <v>404.71</v>
      </c>
      <c r="J527" s="18">
        <v>4564.2700000000004</v>
      </c>
      <c r="K527" s="18">
        <v>0</v>
      </c>
      <c r="L527" s="88">
        <f>SUM(F527:K527)</f>
        <v>190383.91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251965.07</v>
      </c>
      <c r="G529" s="89">
        <f t="shared" ref="G529:L529" si="37">SUM(G526:G528)</f>
        <v>133344.07</v>
      </c>
      <c r="H529" s="89">
        <f t="shared" si="37"/>
        <v>70839.73</v>
      </c>
      <c r="I529" s="89">
        <f t="shared" si="37"/>
        <v>2566.2600000000002</v>
      </c>
      <c r="J529" s="89">
        <f t="shared" si="37"/>
        <v>6500.42</v>
      </c>
      <c r="K529" s="89">
        <f t="shared" si="37"/>
        <v>0</v>
      </c>
      <c r="L529" s="89">
        <f t="shared" si="37"/>
        <v>465215.55000000005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25302.01</v>
      </c>
      <c r="G531" s="18">
        <v>9993.4500000000007</v>
      </c>
      <c r="H531" s="18"/>
      <c r="I531" s="18"/>
      <c r="J531" s="18"/>
      <c r="K531" s="18">
        <v>222.04</v>
      </c>
      <c r="L531" s="88">
        <f>SUM(F531:K531)</f>
        <v>35517.5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16176.69</v>
      </c>
      <c r="G532" s="18">
        <v>6389.26</v>
      </c>
      <c r="H532" s="18"/>
      <c r="I532" s="18"/>
      <c r="J532" s="18"/>
      <c r="K532" s="18">
        <v>141.96</v>
      </c>
      <c r="L532" s="88">
        <f>SUM(F532:K532)</f>
        <v>22707.91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41478.699999999997</v>
      </c>
      <c r="G534" s="89">
        <f t="shared" ref="G534:L534" si="38">SUM(G531:G533)</f>
        <v>16382.710000000001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364</v>
      </c>
      <c r="L534" s="89">
        <f t="shared" si="38"/>
        <v>58225.41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335.25</v>
      </c>
      <c r="I536" s="18"/>
      <c r="J536" s="18"/>
      <c r="K536" s="18"/>
      <c r="L536" s="88">
        <f>SUM(F536:K536)</f>
        <v>335.25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670.5</v>
      </c>
      <c r="I537" s="18"/>
      <c r="J537" s="18"/>
      <c r="K537" s="18"/>
      <c r="L537" s="88">
        <f>SUM(F537:K537)</f>
        <v>670.5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1005.75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1005.75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184513.96</v>
      </c>
      <c r="I541" s="18"/>
      <c r="J541" s="18"/>
      <c r="K541" s="18"/>
      <c r="L541" s="88">
        <f>SUM(F541:K541)</f>
        <v>184513.96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106097.83</v>
      </c>
      <c r="I542" s="18"/>
      <c r="J542" s="18"/>
      <c r="K542" s="18"/>
      <c r="L542" s="88">
        <f>SUM(F542:K542)</f>
        <v>106097.83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290611.78999999998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290611.78999999998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1514869.8</v>
      </c>
      <c r="G545" s="89">
        <f t="shared" ref="G545:L545" si="41">G524+G529+G534+G539+G544</f>
        <v>581566.93999999994</v>
      </c>
      <c r="H545" s="89">
        <f t="shared" si="41"/>
        <v>572290.6</v>
      </c>
      <c r="I545" s="89">
        <f t="shared" si="41"/>
        <v>22037.840000000004</v>
      </c>
      <c r="J545" s="89">
        <f t="shared" si="41"/>
        <v>11162</v>
      </c>
      <c r="K545" s="89">
        <f t="shared" si="41"/>
        <v>10951.04</v>
      </c>
      <c r="L545" s="89">
        <f t="shared" si="41"/>
        <v>2712878.2200000007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965309.08000000007</v>
      </c>
      <c r="G549" s="87">
        <f>L526</f>
        <v>274831.64</v>
      </c>
      <c r="H549" s="87">
        <f>L531</f>
        <v>35517.5</v>
      </c>
      <c r="I549" s="87">
        <f>L536</f>
        <v>335.25</v>
      </c>
      <c r="J549" s="87">
        <f>L541</f>
        <v>184513.96</v>
      </c>
      <c r="K549" s="87">
        <f>SUM(F549:J549)</f>
        <v>1460507.4300000002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932510.64000000013</v>
      </c>
      <c r="G550" s="87">
        <f>L527</f>
        <v>190383.91</v>
      </c>
      <c r="H550" s="87">
        <f>L532</f>
        <v>22707.91</v>
      </c>
      <c r="I550" s="87">
        <f>L537</f>
        <v>670.5</v>
      </c>
      <c r="J550" s="87">
        <f>L542</f>
        <v>106097.83</v>
      </c>
      <c r="K550" s="87">
        <f>SUM(F550:J550)</f>
        <v>1252370.79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1897819.7200000002</v>
      </c>
      <c r="G552" s="89">
        <f t="shared" si="42"/>
        <v>465215.55000000005</v>
      </c>
      <c r="H552" s="89">
        <f t="shared" si="42"/>
        <v>58225.41</v>
      </c>
      <c r="I552" s="89">
        <f t="shared" si="42"/>
        <v>1005.75</v>
      </c>
      <c r="J552" s="89">
        <f t="shared" si="42"/>
        <v>290611.78999999998</v>
      </c>
      <c r="K552" s="89">
        <f t="shared" si="42"/>
        <v>2712878.22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1144.02</v>
      </c>
      <c r="G562" s="18">
        <v>198.86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1342.88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572.23</v>
      </c>
      <c r="G563" s="18">
        <v>94.86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667.09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1716.25</v>
      </c>
      <c r="G565" s="89">
        <f t="shared" si="44"/>
        <v>293.72000000000003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2009.9700000000003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48000</v>
      </c>
      <c r="G567" s="18">
        <v>16824.05</v>
      </c>
      <c r="H567" s="18">
        <v>0</v>
      </c>
      <c r="I567" s="18">
        <v>3286.99</v>
      </c>
      <c r="J567" s="18">
        <v>0</v>
      </c>
      <c r="K567" s="18">
        <v>0</v>
      </c>
      <c r="L567" s="88">
        <f>SUM(F567:K567)</f>
        <v>68111.040000000008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48473</v>
      </c>
      <c r="G568" s="18">
        <v>31161.69</v>
      </c>
      <c r="H568" s="18">
        <v>0</v>
      </c>
      <c r="I568" s="18">
        <v>1972.34</v>
      </c>
      <c r="J568" s="18">
        <v>0</v>
      </c>
      <c r="K568" s="18">
        <v>0</v>
      </c>
      <c r="L568" s="88">
        <f>SUM(F568:K568)</f>
        <v>81607.03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96473</v>
      </c>
      <c r="G570" s="193">
        <f t="shared" ref="G570:L570" si="45">SUM(G567:G569)</f>
        <v>47985.74</v>
      </c>
      <c r="H570" s="193">
        <f t="shared" si="45"/>
        <v>0</v>
      </c>
      <c r="I570" s="193">
        <f t="shared" si="45"/>
        <v>5259.33</v>
      </c>
      <c r="J570" s="193">
        <f t="shared" si="45"/>
        <v>0</v>
      </c>
      <c r="K570" s="193">
        <f t="shared" si="45"/>
        <v>0</v>
      </c>
      <c r="L570" s="193">
        <f t="shared" si="45"/>
        <v>149718.07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98189.25</v>
      </c>
      <c r="G571" s="89">
        <f t="shared" ref="G571:L571" si="46">G560+G565+G570</f>
        <v>48279.46</v>
      </c>
      <c r="H571" s="89">
        <f t="shared" si="46"/>
        <v>0</v>
      </c>
      <c r="I571" s="89">
        <f t="shared" si="46"/>
        <v>5259.33</v>
      </c>
      <c r="J571" s="89">
        <f t="shared" si="46"/>
        <v>0</v>
      </c>
      <c r="K571" s="89">
        <f t="shared" si="46"/>
        <v>0</v>
      </c>
      <c r="L571" s="89">
        <f t="shared" si="46"/>
        <v>151728.04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>
        <v>0</v>
      </c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0</v>
      </c>
      <c r="G576" s="18">
        <v>0</v>
      </c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0</v>
      </c>
      <c r="G578" s="18">
        <v>0</v>
      </c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0</v>
      </c>
      <c r="G579" s="18">
        <v>0</v>
      </c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0</v>
      </c>
      <c r="G580" s="18">
        <v>0</v>
      </c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53720.44</v>
      </c>
      <c r="G582" s="18">
        <v>109219.09</v>
      </c>
      <c r="H582" s="18"/>
      <c r="I582" s="87">
        <f t="shared" si="47"/>
        <v>162939.53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0</v>
      </c>
      <c r="G583" s="18">
        <v>0</v>
      </c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>
        <v>0</v>
      </c>
      <c r="G584" s="18">
        <v>0</v>
      </c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>
        <v>0</v>
      </c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>
        <v>0</v>
      </c>
      <c r="G587" s="18">
        <v>0</v>
      </c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268713.84000000003</v>
      </c>
      <c r="I591" s="18">
        <v>261502.61</v>
      </c>
      <c r="J591" s="18"/>
      <c r="K591" s="104">
        <f t="shared" ref="K591:K597" si="48">SUM(H591:J591)</f>
        <v>530216.44999999995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184513.96</v>
      </c>
      <c r="I592" s="18">
        <v>106097.83</v>
      </c>
      <c r="J592" s="18"/>
      <c r="K592" s="104">
        <f t="shared" si="48"/>
        <v>290611.78999999998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0</v>
      </c>
      <c r="I594" s="18">
        <v>10193.64</v>
      </c>
      <c r="J594" s="18"/>
      <c r="K594" s="104">
        <f t="shared" si="48"/>
        <v>10193.64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218.19</v>
      </c>
      <c r="I595" s="18">
        <v>1150.99</v>
      </c>
      <c r="J595" s="18"/>
      <c r="K595" s="104">
        <f t="shared" si="48"/>
        <v>1369.18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453445.99000000005</v>
      </c>
      <c r="I598" s="108">
        <f>SUM(I591:I597)</f>
        <v>378945.07</v>
      </c>
      <c r="J598" s="108">
        <f>SUM(J591:J597)</f>
        <v>0</v>
      </c>
      <c r="K598" s="108">
        <f>SUM(K591:K597)</f>
        <v>832391.06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108295.2</v>
      </c>
      <c r="I604" s="18">
        <v>130028.77</v>
      </c>
      <c r="J604" s="18"/>
      <c r="K604" s="104">
        <f>SUM(H604:J604)</f>
        <v>238323.97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108295.2</v>
      </c>
      <c r="I605" s="108">
        <f>SUM(I602:I604)</f>
        <v>130028.77</v>
      </c>
      <c r="J605" s="108">
        <f>SUM(J602:J604)</f>
        <v>0</v>
      </c>
      <c r="K605" s="108">
        <f>SUM(K602:K604)</f>
        <v>238323.97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10179.15</v>
      </c>
      <c r="G611" s="18">
        <v>1939.72</v>
      </c>
      <c r="H611" s="18">
        <v>2741.7</v>
      </c>
      <c r="I611" s="18">
        <v>0</v>
      </c>
      <c r="J611" s="18">
        <v>0</v>
      </c>
      <c r="K611" s="18">
        <v>0</v>
      </c>
      <c r="L611" s="88">
        <f>SUM(F611:K611)</f>
        <v>14860.57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5420.3</v>
      </c>
      <c r="G612" s="18">
        <v>943.13</v>
      </c>
      <c r="H612" s="18">
        <v>1723.9</v>
      </c>
      <c r="I612" s="18">
        <v>25.25</v>
      </c>
      <c r="J612" s="18">
        <v>0</v>
      </c>
      <c r="K612" s="18"/>
      <c r="L612" s="88">
        <f>SUM(F612:K612)</f>
        <v>8112.58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15599.45</v>
      </c>
      <c r="G614" s="108">
        <f t="shared" si="49"/>
        <v>2882.85</v>
      </c>
      <c r="H614" s="108">
        <f t="shared" si="49"/>
        <v>4465.6000000000004</v>
      </c>
      <c r="I614" s="108">
        <f t="shared" si="49"/>
        <v>25.25</v>
      </c>
      <c r="J614" s="108">
        <f t="shared" si="49"/>
        <v>0</v>
      </c>
      <c r="K614" s="108">
        <f t="shared" si="49"/>
        <v>0</v>
      </c>
      <c r="L614" s="89">
        <f t="shared" si="49"/>
        <v>22973.15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498845.99</v>
      </c>
      <c r="H617" s="109">
        <f>SUM(F52)</f>
        <v>498845.99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153073.74</v>
      </c>
      <c r="H618" s="109">
        <f>SUM(G52)</f>
        <v>153073.74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0</v>
      </c>
      <c r="H619" s="109">
        <f>SUM(H52)</f>
        <v>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269252.37</v>
      </c>
      <c r="H621" s="109">
        <f>SUM(J52)</f>
        <v>269252.37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363308.7</v>
      </c>
      <c r="H622" s="109">
        <f>F476</f>
        <v>363308.69999999925</v>
      </c>
      <c r="I622" s="121" t="s">
        <v>101</v>
      </c>
      <c r="J622" s="109">
        <f t="shared" ref="J622:J655" si="50">G622-H622</f>
        <v>7.5669959187507629E-10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143047.26999999999</v>
      </c>
      <c r="H623" s="109">
        <f>G476</f>
        <v>143047.27000000002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269252.37</v>
      </c>
      <c r="H626" s="109">
        <f>J476</f>
        <v>269252.37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14084950.280000001</v>
      </c>
      <c r="H627" s="104">
        <f>SUM(F468)</f>
        <v>14084950.279999999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364815.28</v>
      </c>
      <c r="H628" s="104">
        <f>SUM(G468)</f>
        <v>364815.28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55642.87</v>
      </c>
      <c r="H629" s="104">
        <f>SUM(H468)</f>
        <v>55642.87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50663.360000000001</v>
      </c>
      <c r="H631" s="104">
        <f>SUM(J468)</f>
        <v>50663.360000000001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14289668.84</v>
      </c>
      <c r="H632" s="104">
        <f>SUM(F472)</f>
        <v>14289668.84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55642.87</v>
      </c>
      <c r="H633" s="104">
        <f>SUM(H472)</f>
        <v>55642.87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373340.33</v>
      </c>
      <c r="H635" s="104">
        <f>SUM(G472)</f>
        <v>373340.33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50663.359999999993</v>
      </c>
      <c r="H637" s="164">
        <f>SUM(J468)</f>
        <v>50663.360000000001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269252.37</v>
      </c>
      <c r="H640" s="104">
        <f>SUM(G461)</f>
        <v>269252.37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269252.37</v>
      </c>
      <c r="H642" s="104">
        <f>SUM(I461)</f>
        <v>269252.37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663.36</v>
      </c>
      <c r="H644" s="104">
        <f>H408</f>
        <v>663.36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50000</v>
      </c>
      <c r="H645" s="104">
        <f>G408</f>
        <v>50000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50663.360000000001</v>
      </c>
      <c r="H646" s="104">
        <f>L408</f>
        <v>50663.359999999993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832391.06</v>
      </c>
      <c r="H647" s="104">
        <f>L208+L226+L244</f>
        <v>832391.06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238323.97</v>
      </c>
      <c r="H648" s="104">
        <f>(J257+J338)-(J255+J336)</f>
        <v>238323.96999999997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453445.99</v>
      </c>
      <c r="H649" s="104">
        <f>H598</f>
        <v>453445.99000000005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378945.07</v>
      </c>
      <c r="H650" s="104">
        <f>I598</f>
        <v>378945.07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50000</v>
      </c>
      <c r="H655" s="104">
        <f>K266+K347</f>
        <v>50000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7440574.5900000008</v>
      </c>
      <c r="G660" s="19">
        <f>(L229+L309+L359)</f>
        <v>6158878.0099999998</v>
      </c>
      <c r="H660" s="19">
        <f>(L247+L328+L360)</f>
        <v>0</v>
      </c>
      <c r="I660" s="19">
        <f>SUM(F660:H660)</f>
        <v>13599452.600000001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118236.05223404124</v>
      </c>
      <c r="G661" s="19">
        <f>(L359/IF(SUM(L358:L360)=0,1,SUM(L358:L360))*(SUM(G97:G110)))</f>
        <v>98729.567765958738</v>
      </c>
      <c r="H661" s="19">
        <f>(L360/IF(SUM(L358:L360)=0,1,SUM(L358:L360))*(SUM(G97:G110)))</f>
        <v>0</v>
      </c>
      <c r="I661" s="19">
        <f>SUM(F661:H661)</f>
        <v>216965.62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453445.99</v>
      </c>
      <c r="G662" s="19">
        <f>(L226+L306)-(J226+J306)</f>
        <v>378945.07</v>
      </c>
      <c r="H662" s="19">
        <f>(L244+L325)-(J244+J325)</f>
        <v>0</v>
      </c>
      <c r="I662" s="19">
        <f>SUM(F662:H662)</f>
        <v>832391.06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176876.21000000002</v>
      </c>
      <c r="G663" s="199">
        <f>SUM(G575:G587)+SUM(I602:I604)+L612</f>
        <v>247360.43999999997</v>
      </c>
      <c r="H663" s="199">
        <f>SUM(H575:H587)+SUM(J602:J604)+L613</f>
        <v>0</v>
      </c>
      <c r="I663" s="19">
        <f>SUM(F663:H663)</f>
        <v>424236.65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6692016.33776596</v>
      </c>
      <c r="G664" s="19">
        <f>G660-SUM(G661:G663)</f>
        <v>5433842.9322340414</v>
      </c>
      <c r="H664" s="19">
        <f>H660-SUM(H661:H663)</f>
        <v>0</v>
      </c>
      <c r="I664" s="19">
        <f>I660-SUM(I661:I663)</f>
        <v>12125859.270000001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624.97</v>
      </c>
      <c r="G665" s="248">
        <v>351.71</v>
      </c>
      <c r="H665" s="248"/>
      <c r="I665" s="19">
        <f>SUM(F665:H665)</f>
        <v>976.68000000000006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10707.74</v>
      </c>
      <c r="G667" s="19">
        <f>ROUND(G664/G665,2)</f>
        <v>15449.78</v>
      </c>
      <c r="H667" s="19" t="e">
        <f>ROUND(H664/H665,2)</f>
        <v>#DIV/0!</v>
      </c>
      <c r="I667" s="19">
        <f>ROUND(I664/I665,2)</f>
        <v>12415.39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10707.74</v>
      </c>
      <c r="G672" s="19">
        <f>ROUND((G664+G669)/(G665+G670),2)</f>
        <v>15449.78</v>
      </c>
      <c r="H672" s="19" t="e">
        <f>ROUND((H664+H669)/(H665+H670),2)</f>
        <v>#DIV/0!</v>
      </c>
      <c r="I672" s="19">
        <f>ROUND((I664+I669)/(I665+I670),2)</f>
        <v>12415.39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WEARE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3453369.49</v>
      </c>
      <c r="C9" s="229">
        <f>'DOE25'!G197+'DOE25'!G215+'DOE25'!G233+'DOE25'!G276+'DOE25'!G295+'DOE25'!G314</f>
        <v>1685274.8599999999</v>
      </c>
    </row>
    <row r="10" spans="1:3" x14ac:dyDescent="0.2">
      <c r="A10" t="s">
        <v>778</v>
      </c>
      <c r="B10" s="240">
        <v>3125649.63</v>
      </c>
      <c r="C10" s="240">
        <v>1655444.19</v>
      </c>
    </row>
    <row r="11" spans="1:3" x14ac:dyDescent="0.2">
      <c r="A11" t="s">
        <v>779</v>
      </c>
      <c r="B11" s="240">
        <v>177824.43</v>
      </c>
      <c r="C11" s="240">
        <v>18363.04</v>
      </c>
    </row>
    <row r="12" spans="1:3" x14ac:dyDescent="0.2">
      <c r="A12" t="s">
        <v>780</v>
      </c>
      <c r="B12" s="240">
        <v>149895.43</v>
      </c>
      <c r="C12" s="240">
        <v>11467.63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3453369.49</v>
      </c>
      <c r="C13" s="231">
        <f>SUM(C10:C12)</f>
        <v>1685274.8599999999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1502757.45</v>
      </c>
      <c r="C18" s="229">
        <f>'DOE25'!G198+'DOE25'!G216+'DOE25'!G234+'DOE25'!G277+'DOE25'!G296+'DOE25'!G315</f>
        <v>505789.39</v>
      </c>
    </row>
    <row r="19" spans="1:3" x14ac:dyDescent="0.2">
      <c r="A19" t="s">
        <v>778</v>
      </c>
      <c r="B19" s="240">
        <v>777045.55</v>
      </c>
      <c r="C19" s="240">
        <v>430185.15</v>
      </c>
    </row>
    <row r="20" spans="1:3" x14ac:dyDescent="0.2">
      <c r="A20" t="s">
        <v>779</v>
      </c>
      <c r="B20" s="240">
        <v>679295.25</v>
      </c>
      <c r="C20" s="240">
        <v>54516.41</v>
      </c>
    </row>
    <row r="21" spans="1:3" x14ac:dyDescent="0.2">
      <c r="A21" t="s">
        <v>780</v>
      </c>
      <c r="B21" s="240">
        <v>46416.65</v>
      </c>
      <c r="C21" s="240">
        <v>21087.83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1502757.45</v>
      </c>
      <c r="C22" s="231">
        <f>SUM(C19:C21)</f>
        <v>505789.39000000007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100412.24999999999</v>
      </c>
      <c r="C36" s="235">
        <f>'DOE25'!G200+'DOE25'!G218+'DOE25'!G236+'DOE25'!G279+'DOE25'!G298+'DOE25'!G317</f>
        <v>18541.600000000002</v>
      </c>
    </row>
    <row r="37" spans="1:3" x14ac:dyDescent="0.2">
      <c r="A37" t="s">
        <v>778</v>
      </c>
      <c r="B37" s="240">
        <v>81240.72</v>
      </c>
      <c r="C37" s="240">
        <v>12422.87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19171.53</v>
      </c>
      <c r="C39" s="240">
        <v>6118.73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100412.25</v>
      </c>
      <c r="C40" s="231">
        <f>SUM(C37:C39)</f>
        <v>18541.599999999999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WEARE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8047619.3900000015</v>
      </c>
      <c r="D5" s="20">
        <f>SUM('DOE25'!L197:L200)+SUM('DOE25'!L215:L218)+SUM('DOE25'!L233:L236)-F5-G5</f>
        <v>7950301.7400000021</v>
      </c>
      <c r="E5" s="243"/>
      <c r="F5" s="255">
        <f>SUM('DOE25'!J197:J200)+SUM('DOE25'!J215:J218)+SUM('DOE25'!J233:J236)</f>
        <v>77574.31</v>
      </c>
      <c r="G5" s="53">
        <f>SUM('DOE25'!K197:K200)+SUM('DOE25'!K215:K218)+SUM('DOE25'!K233:K236)</f>
        <v>19743.34</v>
      </c>
      <c r="H5" s="259"/>
    </row>
    <row r="6" spans="1:9" x14ac:dyDescent="0.2">
      <c r="A6" s="32">
        <v>2100</v>
      </c>
      <c r="B6" t="s">
        <v>800</v>
      </c>
      <c r="C6" s="245">
        <f t="shared" si="0"/>
        <v>947663.7</v>
      </c>
      <c r="D6" s="20">
        <f>'DOE25'!L202+'DOE25'!L220+'DOE25'!L238-F6-G6</f>
        <v>940824.13</v>
      </c>
      <c r="E6" s="243"/>
      <c r="F6" s="255">
        <f>'DOE25'!J202+'DOE25'!J220+'DOE25'!J238</f>
        <v>6839.5700000000006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618197.37000000011</v>
      </c>
      <c r="D7" s="20">
        <f>'DOE25'!L203+'DOE25'!L221+'DOE25'!L239-F7-G7</f>
        <v>404977.22000000009</v>
      </c>
      <c r="E7" s="243"/>
      <c r="F7" s="255">
        <f>'DOE25'!J203+'DOE25'!J221+'DOE25'!J239</f>
        <v>142875.12</v>
      </c>
      <c r="G7" s="53">
        <f>'DOE25'!K203+'DOE25'!K221+'DOE25'!K239</f>
        <v>70345.03</v>
      </c>
      <c r="H7" s="259"/>
    </row>
    <row r="8" spans="1:9" x14ac:dyDescent="0.2">
      <c r="A8" s="32">
        <v>2300</v>
      </c>
      <c r="B8" t="s">
        <v>801</v>
      </c>
      <c r="C8" s="245">
        <f t="shared" si="0"/>
        <v>362645.17999999993</v>
      </c>
      <c r="D8" s="243"/>
      <c r="E8" s="20">
        <f>'DOE25'!L204+'DOE25'!L222+'DOE25'!L240-F8-G8-D9-D11</f>
        <v>352147.91999999993</v>
      </c>
      <c r="F8" s="255">
        <f>'DOE25'!J204+'DOE25'!J222+'DOE25'!J240</f>
        <v>0</v>
      </c>
      <c r="G8" s="53">
        <f>'DOE25'!K204+'DOE25'!K222+'DOE25'!K240</f>
        <v>10497.26</v>
      </c>
      <c r="H8" s="259"/>
    </row>
    <row r="9" spans="1:9" x14ac:dyDescent="0.2">
      <c r="A9" s="32">
        <v>2310</v>
      </c>
      <c r="B9" t="s">
        <v>817</v>
      </c>
      <c r="C9" s="245">
        <f t="shared" si="0"/>
        <v>72021.45</v>
      </c>
      <c r="D9" s="244">
        <v>72021.45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7200</v>
      </c>
      <c r="D10" s="243"/>
      <c r="E10" s="244">
        <v>7200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166975.41</v>
      </c>
      <c r="D11" s="244">
        <v>166975.41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840449.8</v>
      </c>
      <c r="D12" s="20">
        <f>'DOE25'!L205+'DOE25'!L223+'DOE25'!L241-F12-G12</f>
        <v>836661.8</v>
      </c>
      <c r="E12" s="243"/>
      <c r="F12" s="255">
        <f>'DOE25'!J205+'DOE25'!J223+'DOE25'!J241</f>
        <v>390</v>
      </c>
      <c r="G12" s="53">
        <f>'DOE25'!K205+'DOE25'!K223+'DOE25'!K241</f>
        <v>3398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1282506.04</v>
      </c>
      <c r="D14" s="20">
        <f>'DOE25'!L207+'DOE25'!L225+'DOE25'!L243-F14-G14</f>
        <v>1271861.07</v>
      </c>
      <c r="E14" s="243"/>
      <c r="F14" s="255">
        <f>'DOE25'!J207+'DOE25'!J225+'DOE25'!J243</f>
        <v>10644.97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832391.06</v>
      </c>
      <c r="D15" s="20">
        <f>'DOE25'!L208+'DOE25'!L226+'DOE25'!L244-F15-G15</f>
        <v>832391.06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1069199.44</v>
      </c>
      <c r="D25" s="243"/>
      <c r="E25" s="243"/>
      <c r="F25" s="258"/>
      <c r="G25" s="256"/>
      <c r="H25" s="257">
        <f>'DOE25'!L260+'DOE25'!L261+'DOE25'!L341+'DOE25'!L342</f>
        <v>1069199.44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373340.33</v>
      </c>
      <c r="D29" s="20">
        <f>'DOE25'!L358+'DOE25'!L359+'DOE25'!L360-'DOE25'!I367-F29-G29</f>
        <v>322690.09000000003</v>
      </c>
      <c r="E29" s="243"/>
      <c r="F29" s="255">
        <f>'DOE25'!J358+'DOE25'!J359+'DOE25'!J360</f>
        <v>47989</v>
      </c>
      <c r="G29" s="53">
        <f>'DOE25'!K358+'DOE25'!K359+'DOE25'!K360</f>
        <v>2661.24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55642.87</v>
      </c>
      <c r="D31" s="20">
        <f>'DOE25'!L290+'DOE25'!L309+'DOE25'!L328+'DOE25'!L333+'DOE25'!L334+'DOE25'!L335-F31-G31</f>
        <v>54573.43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1069.44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12853277.400000004</v>
      </c>
      <c r="E33" s="246">
        <f>SUM(E5:E31)</f>
        <v>359347.91999999993</v>
      </c>
      <c r="F33" s="246">
        <f>SUM(F5:F31)</f>
        <v>286312.96999999997</v>
      </c>
      <c r="G33" s="246">
        <f>SUM(G5:G31)</f>
        <v>107714.31</v>
      </c>
      <c r="H33" s="246">
        <f>SUM(H5:H31)</f>
        <v>1069199.44</v>
      </c>
    </row>
    <row r="35" spans="2:8" ht="12" thickBot="1" x14ac:dyDescent="0.25">
      <c r="B35" s="253" t="s">
        <v>846</v>
      </c>
      <c r="D35" s="254">
        <f>E33</f>
        <v>359347.91999999993</v>
      </c>
      <c r="E35" s="249"/>
    </row>
    <row r="36" spans="2:8" ht="12" thickTop="1" x14ac:dyDescent="0.2">
      <c r="B36" t="s">
        <v>814</v>
      </c>
      <c r="D36" s="20">
        <f>D33</f>
        <v>12853277.400000004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39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WEARE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471935.83</v>
      </c>
      <c r="D8" s="95">
        <f>'DOE25'!G9</f>
        <v>138248.09</v>
      </c>
      <c r="E8" s="95">
        <f>'DOE25'!H9</f>
        <v>-27580.66</v>
      </c>
      <c r="F8" s="95">
        <f>'DOE25'!I9</f>
        <v>0</v>
      </c>
      <c r="G8" s="95">
        <f>'DOE25'!J9</f>
        <v>269252.37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2161.6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4119.3599999999997</v>
      </c>
      <c r="D12" s="95">
        <f>'DOE25'!G13</f>
        <v>7861.56</v>
      </c>
      <c r="E12" s="95">
        <f>'DOE25'!H13</f>
        <v>27580.66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22790.799999999999</v>
      </c>
      <c r="D13" s="95">
        <f>'DOE25'!G14</f>
        <v>4802.49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498845.99</v>
      </c>
      <c r="D18" s="41">
        <f>SUM(D8:D17)</f>
        <v>153073.74</v>
      </c>
      <c r="E18" s="41">
        <f>SUM(E8:E17)</f>
        <v>0</v>
      </c>
      <c r="F18" s="41">
        <f>SUM(F8:F17)</f>
        <v>0</v>
      </c>
      <c r="G18" s="41">
        <f>SUM(G8:G17)</f>
        <v>269252.37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750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4669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95055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9951.31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25111.98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10026.469999999999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135537.29</v>
      </c>
      <c r="D31" s="41">
        <f>SUM(D21:D30)</f>
        <v>10026.469999999999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143047.26999999999</v>
      </c>
      <c r="E47" s="95">
        <f>'DOE25'!H48</f>
        <v>0</v>
      </c>
      <c r="F47" s="95">
        <f>'DOE25'!I48</f>
        <v>0</v>
      </c>
      <c r="G47" s="95">
        <f>'DOE25'!J48</f>
        <v>269252.37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363308.7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363308.7</v>
      </c>
      <c r="D50" s="41">
        <f>SUM(D34:D49)</f>
        <v>143047.26999999999</v>
      </c>
      <c r="E50" s="41">
        <f>SUM(E34:E49)</f>
        <v>0</v>
      </c>
      <c r="F50" s="41">
        <f>SUM(F34:F49)</f>
        <v>0</v>
      </c>
      <c r="G50" s="41">
        <f>SUM(G34:G49)</f>
        <v>269252.37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498845.99</v>
      </c>
      <c r="D51" s="41">
        <f>D50+D31</f>
        <v>153073.74</v>
      </c>
      <c r="E51" s="41">
        <f>E50+E31</f>
        <v>0</v>
      </c>
      <c r="F51" s="41">
        <f>F50+F31</f>
        <v>0</v>
      </c>
      <c r="G51" s="41">
        <f>G50+G31</f>
        <v>269252.37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7589318</v>
      </c>
      <c r="D56" s="95">
        <f>'DOE25'!G60</f>
        <v>36846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18566</v>
      </c>
      <c r="D57" s="24" t="s">
        <v>288</v>
      </c>
      <c r="E57" s="95">
        <f>'DOE25'!H79</f>
        <v>19645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85088.17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663.36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212163.13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50891.25</v>
      </c>
      <c r="D61" s="95">
        <f>SUM('DOE25'!G98:G110)</f>
        <v>4802.49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154545.41999999998</v>
      </c>
      <c r="D62" s="130">
        <f>SUM(D57:D61)</f>
        <v>216965.62</v>
      </c>
      <c r="E62" s="130">
        <f>SUM(E57:E61)</f>
        <v>19645</v>
      </c>
      <c r="F62" s="130">
        <f>SUM(F57:F61)</f>
        <v>0</v>
      </c>
      <c r="G62" s="130">
        <f>SUM(G57:G61)</f>
        <v>663.36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7743863.4199999999</v>
      </c>
      <c r="D63" s="22">
        <f>D56+D62</f>
        <v>253811.62</v>
      </c>
      <c r="E63" s="22">
        <f>E56+E62</f>
        <v>19645</v>
      </c>
      <c r="F63" s="22">
        <f>F56+F62</f>
        <v>0</v>
      </c>
      <c r="G63" s="22">
        <f>G56+G62</f>
        <v>663.36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4641064.4800000004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1151692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5792756.4800000004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369686.39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46170.09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4918.29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415856.48</v>
      </c>
      <c r="D78" s="130">
        <f>SUM(D72:D77)</f>
        <v>4918.29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6208612.9600000009</v>
      </c>
      <c r="D81" s="130">
        <f>SUM(D79:D80)+D78+D70</f>
        <v>4918.29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132473.9</v>
      </c>
      <c r="D88" s="95">
        <f>SUM('DOE25'!G153:G161)</f>
        <v>106085.37</v>
      </c>
      <c r="E88" s="95">
        <f>SUM('DOE25'!H153:H161)</f>
        <v>35997.870000000003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132473.9</v>
      </c>
      <c r="D91" s="131">
        <f>SUM(D85:D90)</f>
        <v>106085.37</v>
      </c>
      <c r="E91" s="131">
        <f>SUM(E85:E90)</f>
        <v>35997.870000000003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764</v>
      </c>
      <c r="C104" s="86">
        <f>C63+C81+C91+C103</f>
        <v>14084950.280000001</v>
      </c>
      <c r="D104" s="86">
        <f>D63+D81+D91+D103</f>
        <v>364815.28</v>
      </c>
      <c r="E104" s="86">
        <f>E63+E81+E91+E103</f>
        <v>55642.87</v>
      </c>
      <c r="F104" s="86">
        <f>F63+F81+F91+F103</f>
        <v>0</v>
      </c>
      <c r="G104" s="86">
        <f>G63+G81+G103</f>
        <v>50663.360000000001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5504697.3600000003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2325926.5100000002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108289.43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108706.09</v>
      </c>
      <c r="D112" s="24" t="s">
        <v>288</v>
      </c>
      <c r="E112" s="95">
        <f>+('DOE25'!L279)+('DOE25'!L298)+('DOE25'!L317)</f>
        <v>19645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8047619.3900000006</v>
      </c>
      <c r="D115" s="86">
        <f>SUM(D109:D114)</f>
        <v>0</v>
      </c>
      <c r="E115" s="86">
        <f>SUM(E109:E114)</f>
        <v>19645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947663.7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618197.37000000011</v>
      </c>
      <c r="D119" s="24" t="s">
        <v>288</v>
      </c>
      <c r="E119" s="95">
        <f>+('DOE25'!L282)+('DOE25'!L301)+('DOE25'!L320)</f>
        <v>35997.870000000003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601642.03999999992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840449.8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1282506.04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832391.06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373340.33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5122850.01</v>
      </c>
      <c r="D128" s="86">
        <f>SUM(D118:D127)</f>
        <v>373340.33</v>
      </c>
      <c r="E128" s="86">
        <f>SUM(E118:E127)</f>
        <v>35997.870000000003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910000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159199.44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146.99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50516.369999999995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-663.35999999999331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1119199.4399999997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14289668.84</v>
      </c>
      <c r="D145" s="86">
        <f>(D115+D128+D144)</f>
        <v>373340.33</v>
      </c>
      <c r="E145" s="86">
        <f>(E115+E128+E144)</f>
        <v>55642.87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8/1/2015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6/30/2026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10217500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1.88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9100000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9100000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910000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910000</v>
      </c>
    </row>
    <row r="159" spans="1:9" x14ac:dyDescent="0.2">
      <c r="A159" s="22" t="s">
        <v>35</v>
      </c>
      <c r="B159" s="137">
        <f>'DOE25'!F498</f>
        <v>8190000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8190000</v>
      </c>
    </row>
    <row r="160" spans="1:9" x14ac:dyDescent="0.2">
      <c r="A160" s="22" t="s">
        <v>36</v>
      </c>
      <c r="B160" s="137">
        <f>'DOE25'!F499</f>
        <v>696200.56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696200.56</v>
      </c>
    </row>
    <row r="161" spans="1:7" x14ac:dyDescent="0.2">
      <c r="A161" s="22" t="s">
        <v>37</v>
      </c>
      <c r="B161" s="137">
        <f>'DOE25'!F500</f>
        <v>8886200.5600000005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8886200.5600000005</v>
      </c>
    </row>
    <row r="162" spans="1:7" x14ac:dyDescent="0.2">
      <c r="A162" s="22" t="s">
        <v>38</v>
      </c>
      <c r="B162" s="137">
        <f>'DOE25'!F501</f>
        <v>910000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910000</v>
      </c>
    </row>
    <row r="163" spans="1:7" x14ac:dyDescent="0.2">
      <c r="A163" s="22" t="s">
        <v>39</v>
      </c>
      <c r="B163" s="137">
        <f>'DOE25'!F502</f>
        <v>145418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145418</v>
      </c>
    </row>
    <row r="164" spans="1:7" x14ac:dyDescent="0.2">
      <c r="A164" s="22" t="s">
        <v>246</v>
      </c>
      <c r="B164" s="137">
        <f>'DOE25'!F503</f>
        <v>1055418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1055418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WEARE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10708</v>
      </c>
    </row>
    <row r="5" spans="1:4" x14ac:dyDescent="0.2">
      <c r="B5" t="s">
        <v>703</v>
      </c>
      <c r="C5" s="179">
        <f>IF('DOE25'!G665+'DOE25'!G670=0,0,ROUND('DOE25'!G672,0))</f>
        <v>15450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12415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5504697</v>
      </c>
      <c r="D10" s="182">
        <f>ROUND((C10/$C$28)*100,1)</f>
        <v>40.700000000000003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2325927</v>
      </c>
      <c r="D11" s="182">
        <f>ROUND((C11/$C$28)*100,1)</f>
        <v>17.2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108289</v>
      </c>
      <c r="D12" s="182">
        <f>ROUND((C12/$C$28)*100,1)</f>
        <v>0.8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128351</v>
      </c>
      <c r="D13" s="182">
        <f>ROUND((C13/$C$28)*100,1)</f>
        <v>0.9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947664</v>
      </c>
      <c r="D15" s="182">
        <f t="shared" ref="D15:D27" si="0">ROUND((C15/$C$28)*100,1)</f>
        <v>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654195</v>
      </c>
      <c r="D16" s="182">
        <f t="shared" si="0"/>
        <v>4.8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601642</v>
      </c>
      <c r="D17" s="182">
        <f t="shared" si="0"/>
        <v>4.4000000000000004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840450</v>
      </c>
      <c r="D18" s="182">
        <f t="shared" si="0"/>
        <v>6.2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1282506</v>
      </c>
      <c r="D20" s="182">
        <f t="shared" si="0"/>
        <v>9.5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832391</v>
      </c>
      <c r="D21" s="182">
        <f t="shared" si="0"/>
        <v>6.1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159199</v>
      </c>
      <c r="D25" s="182">
        <f t="shared" si="0"/>
        <v>1.2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156374.38</v>
      </c>
      <c r="D27" s="182">
        <f t="shared" si="0"/>
        <v>1.2</v>
      </c>
    </row>
    <row r="28" spans="1:4" x14ac:dyDescent="0.2">
      <c r="B28" s="187" t="s">
        <v>722</v>
      </c>
      <c r="C28" s="180">
        <f>SUM(C10:C27)</f>
        <v>13541685.380000001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13541685.380000001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910000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7626164</v>
      </c>
      <c r="D35" s="182">
        <f t="shared" ref="D35:D40" si="1">ROUND((C35/$C$41)*100,1)</f>
        <v>53.4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174853.78000000026</v>
      </c>
      <c r="D36" s="182">
        <f t="shared" si="1"/>
        <v>1.2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5792756</v>
      </c>
      <c r="D37" s="182">
        <f t="shared" si="1"/>
        <v>40.5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420775</v>
      </c>
      <c r="D38" s="182">
        <f t="shared" si="1"/>
        <v>2.9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274557</v>
      </c>
      <c r="D39" s="182">
        <f t="shared" si="1"/>
        <v>1.9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14289105.780000001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WEARE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2017-08-08T12:55:51Z</cp:lastPrinted>
  <dcterms:created xsi:type="dcterms:W3CDTF">1997-12-04T19:04:30Z</dcterms:created>
  <dcterms:modified xsi:type="dcterms:W3CDTF">2017-11-29T18:08:08Z</dcterms:modified>
</cp:coreProperties>
</file>