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28800" windowHeight="1302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H604" i="1" l="1"/>
  <c r="J472" i="1"/>
  <c r="G97" i="1"/>
  <c r="F12" i="1"/>
  <c r="H526" i="1" l="1"/>
  <c r="J526" i="1"/>
  <c r="G526" i="1"/>
  <c r="F526" i="1"/>
  <c r="J521" i="1"/>
  <c r="I521" i="1"/>
  <c r="F521" i="1"/>
  <c r="H521" i="1"/>
  <c r="G521" i="1"/>
  <c r="J96" i="1" l="1"/>
  <c r="G502" i="1"/>
  <c r="F459" i="1"/>
  <c r="G440" i="1"/>
  <c r="G459" i="1" s="1"/>
  <c r="F367" i="1"/>
  <c r="I358" i="1"/>
  <c r="H358" i="1"/>
  <c r="G358" i="1"/>
  <c r="H282" i="1"/>
  <c r="G282" i="1"/>
  <c r="F282" i="1"/>
  <c r="J276" i="1"/>
  <c r="I276" i="1"/>
  <c r="G276" i="1"/>
  <c r="I205" i="1"/>
  <c r="I203" i="1"/>
  <c r="H208" i="1"/>
  <c r="H204" i="1"/>
  <c r="H202" i="1"/>
  <c r="G204" i="1"/>
  <c r="G203" i="1"/>
  <c r="G202" i="1"/>
  <c r="G200" i="1"/>
  <c r="G198" i="1"/>
  <c r="F204" i="1"/>
  <c r="F203" i="1"/>
  <c r="F202" i="1"/>
  <c r="F200" i="1"/>
  <c r="F198" i="1"/>
  <c r="H159" i="1"/>
  <c r="H155" i="1"/>
  <c r="H154" i="1"/>
  <c r="H150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C125" i="2" s="1"/>
  <c r="F5" i="13"/>
  <c r="G5" i="13"/>
  <c r="L197" i="1"/>
  <c r="L198" i="1"/>
  <c r="L199" i="1"/>
  <c r="L200" i="1"/>
  <c r="L215" i="1"/>
  <c r="L216" i="1"/>
  <c r="L229" i="1" s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C16" i="10" s="1"/>
  <c r="F12" i="13"/>
  <c r="G12" i="13"/>
  <c r="L205" i="1"/>
  <c r="L223" i="1"/>
  <c r="L241" i="1"/>
  <c r="F14" i="13"/>
  <c r="G14" i="13"/>
  <c r="L207" i="1"/>
  <c r="C123" i="2" s="1"/>
  <c r="L225" i="1"/>
  <c r="L243" i="1"/>
  <c r="F15" i="13"/>
  <c r="G15" i="13"/>
  <c r="L208" i="1"/>
  <c r="L226" i="1"/>
  <c r="L244" i="1"/>
  <c r="G651" i="1" s="1"/>
  <c r="F17" i="13"/>
  <c r="G17" i="13"/>
  <c r="L251" i="1"/>
  <c r="F18" i="13"/>
  <c r="G18" i="13"/>
  <c r="D18" i="13" s="1"/>
  <c r="C18" i="13" s="1"/>
  <c r="L252" i="1"/>
  <c r="F19" i="13"/>
  <c r="G19" i="13"/>
  <c r="L253" i="1"/>
  <c r="C114" i="2" s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E112" i="2" s="1"/>
  <c r="L281" i="1"/>
  <c r="L282" i="1"/>
  <c r="L283" i="1"/>
  <c r="L284" i="1"/>
  <c r="E121" i="2" s="1"/>
  <c r="L285" i="1"/>
  <c r="L286" i="1"/>
  <c r="L287" i="1"/>
  <c r="L288" i="1"/>
  <c r="E125" i="2" s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28" i="1" s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32" i="10" s="1"/>
  <c r="L261" i="1"/>
  <c r="C132" i="2" s="1"/>
  <c r="L341" i="1"/>
  <c r="L342" i="1"/>
  <c r="L255" i="1"/>
  <c r="C130" i="2" s="1"/>
  <c r="L336" i="1"/>
  <c r="C11" i="13"/>
  <c r="C10" i="13"/>
  <c r="C9" i="13"/>
  <c r="L361" i="1"/>
  <c r="B4" i="12"/>
  <c r="B36" i="12"/>
  <c r="C36" i="12"/>
  <c r="B40" i="12"/>
  <c r="C40" i="12"/>
  <c r="A40" i="12" s="1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G147" i="1"/>
  <c r="G162" i="1"/>
  <c r="H147" i="1"/>
  <c r="E85" i="2" s="1"/>
  <c r="H162" i="1"/>
  <c r="I147" i="1"/>
  <c r="I162" i="1"/>
  <c r="C12" i="10"/>
  <c r="L250" i="1"/>
  <c r="C113" i="2" s="1"/>
  <c r="L332" i="1"/>
  <c r="L254" i="1"/>
  <c r="L268" i="1"/>
  <c r="L269" i="1"/>
  <c r="C143" i="2" s="1"/>
  <c r="L349" i="1"/>
  <c r="L350" i="1"/>
  <c r="I665" i="1"/>
  <c r="I670" i="1"/>
  <c r="G662" i="1"/>
  <c r="I669" i="1"/>
  <c r="C42" i="10"/>
  <c r="L374" i="1"/>
  <c r="L375" i="1"/>
  <c r="L376" i="1"/>
  <c r="L377" i="1"/>
  <c r="L378" i="1"/>
  <c r="L379" i="1"/>
  <c r="F130" i="2" s="1"/>
  <c r="L380" i="1"/>
  <c r="B2" i="10"/>
  <c r="L344" i="1"/>
  <c r="L345" i="1"/>
  <c r="L346" i="1"/>
  <c r="L347" i="1"/>
  <c r="L351" i="1" s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I552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F18" i="2" s="1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D81" i="2" s="1"/>
  <c r="E69" i="2"/>
  <c r="E70" i="2" s="1"/>
  <c r="F69" i="2"/>
  <c r="F70" i="2" s="1"/>
  <c r="G69" i="2"/>
  <c r="G70" i="2" s="1"/>
  <c r="C72" i="2"/>
  <c r="C78" i="2" s="1"/>
  <c r="F72" i="2"/>
  <c r="C73" i="2"/>
  <c r="F73" i="2"/>
  <c r="C74" i="2"/>
  <c r="C75" i="2"/>
  <c r="C76" i="2"/>
  <c r="E76" i="2"/>
  <c r="F76" i="2"/>
  <c r="F78" i="2" s="1"/>
  <c r="F81" i="2" s="1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D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E103" i="2" s="1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1" i="2"/>
  <c r="E111" i="2"/>
  <c r="E113" i="2"/>
  <c r="E114" i="2"/>
  <c r="D115" i="2"/>
  <c r="F115" i="2"/>
  <c r="G115" i="2"/>
  <c r="E118" i="2"/>
  <c r="E119" i="2"/>
  <c r="E120" i="2"/>
  <c r="E122" i="2"/>
  <c r="E123" i="2"/>
  <c r="E124" i="2"/>
  <c r="F128" i="2"/>
  <c r="G128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G32" i="1"/>
  <c r="G52" i="1" s="1"/>
  <c r="H618" i="1" s="1"/>
  <c r="H32" i="1"/>
  <c r="I32" i="1"/>
  <c r="H617" i="1"/>
  <c r="H51" i="1"/>
  <c r="I51" i="1"/>
  <c r="F177" i="1"/>
  <c r="I177" i="1"/>
  <c r="F183" i="1"/>
  <c r="G183" i="1"/>
  <c r="G192" i="1" s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3" i="1" s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H452" i="1"/>
  <c r="F460" i="1"/>
  <c r="G460" i="1"/>
  <c r="G461" i="1" s="1"/>
  <c r="H640" i="1" s="1"/>
  <c r="H460" i="1"/>
  <c r="F461" i="1"/>
  <c r="H461" i="1"/>
  <c r="H641" i="1" s="1"/>
  <c r="J641" i="1" s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I545" i="1" s="1"/>
  <c r="J524" i="1"/>
  <c r="K524" i="1"/>
  <c r="F529" i="1"/>
  <c r="G529" i="1"/>
  <c r="H529" i="1"/>
  <c r="I529" i="1"/>
  <c r="J529" i="1"/>
  <c r="J545" i="1" s="1"/>
  <c r="K529" i="1"/>
  <c r="F534" i="1"/>
  <c r="G534" i="1"/>
  <c r="H534" i="1"/>
  <c r="I534" i="1"/>
  <c r="J534" i="1"/>
  <c r="K534" i="1"/>
  <c r="K545" i="1" s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J571" i="1" s="1"/>
  <c r="K560" i="1"/>
  <c r="K571" i="1" s="1"/>
  <c r="L562" i="1"/>
  <c r="L563" i="1"/>
  <c r="L564" i="1"/>
  <c r="F565" i="1"/>
  <c r="G565" i="1"/>
  <c r="H565" i="1"/>
  <c r="I565" i="1"/>
  <c r="J565" i="1"/>
  <c r="K565" i="1"/>
  <c r="L567" i="1"/>
  <c r="L568" i="1"/>
  <c r="L569" i="1"/>
  <c r="L570" i="1" s="1"/>
  <c r="F570" i="1"/>
  <c r="G570" i="1"/>
  <c r="H570" i="1"/>
  <c r="H571" i="1" s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8" i="1"/>
  <c r="G620" i="1"/>
  <c r="G622" i="1"/>
  <c r="G623" i="1"/>
  <c r="G624" i="1"/>
  <c r="G625" i="1"/>
  <c r="H639" i="1"/>
  <c r="G641" i="1"/>
  <c r="G643" i="1"/>
  <c r="H643" i="1"/>
  <c r="G644" i="1"/>
  <c r="G645" i="1"/>
  <c r="G650" i="1"/>
  <c r="G652" i="1"/>
  <c r="H652" i="1"/>
  <c r="G653" i="1"/>
  <c r="H653" i="1"/>
  <c r="G654" i="1"/>
  <c r="H654" i="1"/>
  <c r="H655" i="1"/>
  <c r="C26" i="10"/>
  <c r="A31" i="12"/>
  <c r="D7" i="13"/>
  <c r="C7" i="13" s="1"/>
  <c r="D17" i="13"/>
  <c r="C17" i="13" s="1"/>
  <c r="D50" i="2"/>
  <c r="G156" i="2"/>
  <c r="E62" i="2"/>
  <c r="E63" i="2" s="1"/>
  <c r="E31" i="2"/>
  <c r="G62" i="2"/>
  <c r="E78" i="2"/>
  <c r="L427" i="1"/>
  <c r="H112" i="1"/>
  <c r="L419" i="1"/>
  <c r="I169" i="1"/>
  <c r="J643" i="1"/>
  <c r="J140" i="1"/>
  <c r="F571" i="1"/>
  <c r="K550" i="1"/>
  <c r="G22" i="2"/>
  <c r="H140" i="1"/>
  <c r="L401" i="1"/>
  <c r="C139" i="2" s="1"/>
  <c r="L393" i="1"/>
  <c r="C138" i="2" s="1"/>
  <c r="L309" i="1"/>
  <c r="J655" i="1"/>
  <c r="I571" i="1"/>
  <c r="G36" i="2"/>
  <c r="L565" i="1"/>
  <c r="K551" i="1"/>
  <c r="L256" i="1" l="1"/>
  <c r="D91" i="2"/>
  <c r="K598" i="1"/>
  <c r="G647" i="1" s="1"/>
  <c r="J647" i="1" s="1"/>
  <c r="F552" i="1"/>
  <c r="G545" i="1"/>
  <c r="L529" i="1"/>
  <c r="H545" i="1"/>
  <c r="K549" i="1"/>
  <c r="K552" i="1" s="1"/>
  <c r="E81" i="2"/>
  <c r="G408" i="1"/>
  <c r="H645" i="1" s="1"/>
  <c r="J645" i="1" s="1"/>
  <c r="L382" i="1"/>
  <c r="F338" i="1"/>
  <c r="F352" i="1" s="1"/>
  <c r="F257" i="1"/>
  <c r="F271" i="1" s="1"/>
  <c r="F192" i="1"/>
  <c r="I52" i="1"/>
  <c r="H620" i="1" s="1"/>
  <c r="D19" i="13"/>
  <c r="C19" i="13" s="1"/>
  <c r="E16" i="13"/>
  <c r="C16" i="13" s="1"/>
  <c r="F22" i="13"/>
  <c r="C22" i="13" s="1"/>
  <c r="C29" i="10"/>
  <c r="L534" i="1"/>
  <c r="I460" i="1"/>
  <c r="I452" i="1"/>
  <c r="H338" i="1"/>
  <c r="H352" i="1" s="1"/>
  <c r="G164" i="2"/>
  <c r="G161" i="2"/>
  <c r="C131" i="2"/>
  <c r="C13" i="10"/>
  <c r="H169" i="1"/>
  <c r="F169" i="1"/>
  <c r="E109" i="2"/>
  <c r="C118" i="2"/>
  <c r="C122" i="2"/>
  <c r="G257" i="1"/>
  <c r="G271" i="1" s="1"/>
  <c r="L270" i="1"/>
  <c r="C20" i="10"/>
  <c r="A13" i="12"/>
  <c r="F661" i="1"/>
  <c r="J651" i="1"/>
  <c r="C18" i="10"/>
  <c r="E8" i="13"/>
  <c r="C8" i="13" s="1"/>
  <c r="K257" i="1"/>
  <c r="L544" i="1"/>
  <c r="L524" i="1"/>
  <c r="I257" i="1"/>
  <c r="I271" i="1" s="1"/>
  <c r="G157" i="2"/>
  <c r="C91" i="2"/>
  <c r="C11" i="10"/>
  <c r="C119" i="2"/>
  <c r="C112" i="2"/>
  <c r="K503" i="1"/>
  <c r="K500" i="1"/>
  <c r="J640" i="1"/>
  <c r="J639" i="1"/>
  <c r="I446" i="1"/>
  <c r="G642" i="1" s="1"/>
  <c r="H408" i="1"/>
  <c r="H644" i="1" s="1"/>
  <c r="J644" i="1" s="1"/>
  <c r="I369" i="1"/>
  <c r="H634" i="1" s="1"/>
  <c r="J634" i="1" s="1"/>
  <c r="G661" i="1"/>
  <c r="L362" i="1"/>
  <c r="H661" i="1"/>
  <c r="D29" i="13"/>
  <c r="C29" i="13" s="1"/>
  <c r="D127" i="2"/>
  <c r="D128" i="2" s="1"/>
  <c r="D145" i="2" s="1"/>
  <c r="E128" i="2"/>
  <c r="E110" i="2"/>
  <c r="E115" i="2" s="1"/>
  <c r="L290" i="1"/>
  <c r="C25" i="10"/>
  <c r="H25" i="13"/>
  <c r="K271" i="1"/>
  <c r="H662" i="1"/>
  <c r="C21" i="10"/>
  <c r="L247" i="1"/>
  <c r="H660" i="1" s="1"/>
  <c r="C110" i="2"/>
  <c r="H257" i="1"/>
  <c r="H271" i="1" s="1"/>
  <c r="E13" i="13"/>
  <c r="C13" i="13" s="1"/>
  <c r="C19" i="10"/>
  <c r="D6" i="13"/>
  <c r="C6" i="13" s="1"/>
  <c r="G649" i="1"/>
  <c r="J649" i="1" s="1"/>
  <c r="D15" i="13"/>
  <c r="C15" i="13" s="1"/>
  <c r="H647" i="1"/>
  <c r="C124" i="2"/>
  <c r="F662" i="1"/>
  <c r="D12" i="13"/>
  <c r="C12" i="13" s="1"/>
  <c r="D14" i="13"/>
  <c r="C14" i="13" s="1"/>
  <c r="C121" i="2"/>
  <c r="D5" i="13"/>
  <c r="C5" i="13" s="1"/>
  <c r="C120" i="2"/>
  <c r="C17" i="10"/>
  <c r="C15" i="10"/>
  <c r="C109" i="2"/>
  <c r="L211" i="1"/>
  <c r="C10" i="10"/>
  <c r="C70" i="2"/>
  <c r="C81" i="2" s="1"/>
  <c r="C62" i="2"/>
  <c r="C63" i="2" s="1"/>
  <c r="C35" i="10"/>
  <c r="F112" i="1"/>
  <c r="H52" i="1"/>
  <c r="H619" i="1" s="1"/>
  <c r="J619" i="1" s="1"/>
  <c r="D31" i="2"/>
  <c r="D51" i="2" s="1"/>
  <c r="D18" i="2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F104" i="2" s="1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54" i="1"/>
  <c r="J653" i="1"/>
  <c r="F144" i="2"/>
  <c r="F145" i="2" s="1"/>
  <c r="G21" i="2"/>
  <c r="G31" i="2" s="1"/>
  <c r="J32" i="1"/>
  <c r="L434" i="1"/>
  <c r="J434" i="1"/>
  <c r="F434" i="1"/>
  <c r="K434" i="1"/>
  <c r="G134" i="2" s="1"/>
  <c r="G144" i="2" s="1"/>
  <c r="G145" i="2" s="1"/>
  <c r="F31" i="13"/>
  <c r="F33" i="13" s="1"/>
  <c r="J193" i="1"/>
  <c r="H193" i="1"/>
  <c r="G169" i="1"/>
  <c r="C39" i="10" s="1"/>
  <c r="G140" i="1"/>
  <c r="F140" i="1"/>
  <c r="G63" i="2"/>
  <c r="G104" i="2" s="1"/>
  <c r="J618" i="1"/>
  <c r="G42" i="2"/>
  <c r="J51" i="1"/>
  <c r="G16" i="2"/>
  <c r="G18" i="2" s="1"/>
  <c r="J19" i="1"/>
  <c r="G621" i="1" s="1"/>
  <c r="F545" i="1"/>
  <c r="H434" i="1"/>
  <c r="J620" i="1"/>
  <c r="D103" i="2"/>
  <c r="D104" i="2" s="1"/>
  <c r="I140" i="1"/>
  <c r="A22" i="12"/>
  <c r="G50" i="2"/>
  <c r="G51" i="2" s="1"/>
  <c r="H648" i="1"/>
  <c r="J648" i="1" s="1"/>
  <c r="J652" i="1"/>
  <c r="G571" i="1"/>
  <c r="I434" i="1"/>
  <c r="G434" i="1"/>
  <c r="E104" i="2"/>
  <c r="I663" i="1"/>
  <c r="E33" i="13" l="1"/>
  <c r="D35" i="13" s="1"/>
  <c r="I661" i="1"/>
  <c r="I193" i="1"/>
  <c r="I468" i="1" s="1"/>
  <c r="L545" i="1"/>
  <c r="G629" i="1"/>
  <c r="H468" i="1"/>
  <c r="G630" i="1"/>
  <c r="L338" i="1"/>
  <c r="L352" i="1" s="1"/>
  <c r="G636" i="1"/>
  <c r="G638" i="1"/>
  <c r="C27" i="10"/>
  <c r="C28" i="10" s="1"/>
  <c r="D23" i="10" s="1"/>
  <c r="G472" i="1"/>
  <c r="J642" i="1"/>
  <c r="I461" i="1"/>
  <c r="H642" i="1" s="1"/>
  <c r="G646" i="1"/>
  <c r="J646" i="1" s="1"/>
  <c r="J468" i="1"/>
  <c r="H646" i="1"/>
  <c r="G664" i="1"/>
  <c r="G667" i="1" s="1"/>
  <c r="G635" i="1"/>
  <c r="E145" i="2"/>
  <c r="F660" i="1"/>
  <c r="F664" i="1" s="1"/>
  <c r="F672" i="1" s="1"/>
  <c r="C4" i="10" s="1"/>
  <c r="D31" i="13"/>
  <c r="C31" i="13" s="1"/>
  <c r="C25" i="13"/>
  <c r="H33" i="13"/>
  <c r="H664" i="1"/>
  <c r="I662" i="1"/>
  <c r="C115" i="2"/>
  <c r="C128" i="2"/>
  <c r="L257" i="1"/>
  <c r="L271" i="1" s="1"/>
  <c r="G672" i="1"/>
  <c r="C5" i="10" s="1"/>
  <c r="C104" i="2"/>
  <c r="C36" i="10"/>
  <c r="F193" i="1"/>
  <c r="C51" i="2"/>
  <c r="G631" i="1"/>
  <c r="G193" i="1"/>
  <c r="G626" i="1"/>
  <c r="J52" i="1"/>
  <c r="H621" i="1" s="1"/>
  <c r="J621" i="1" s="1"/>
  <c r="C38" i="10"/>
  <c r="I470" i="1" l="1"/>
  <c r="H630" i="1"/>
  <c r="J630" i="1" s="1"/>
  <c r="G627" i="1"/>
  <c r="G628" i="1"/>
  <c r="G632" i="1"/>
  <c r="G474" i="1"/>
  <c r="H635" i="1"/>
  <c r="I474" i="1"/>
  <c r="H636" i="1"/>
  <c r="J636" i="1" s="1"/>
  <c r="J635" i="1"/>
  <c r="H470" i="1"/>
  <c r="H629" i="1"/>
  <c r="J629" i="1" s="1"/>
  <c r="J474" i="1"/>
  <c r="H638" i="1"/>
  <c r="J638" i="1" s="1"/>
  <c r="G633" i="1"/>
  <c r="H472" i="1"/>
  <c r="H631" i="1"/>
  <c r="J631" i="1" s="1"/>
  <c r="J470" i="1"/>
  <c r="H637" i="1"/>
  <c r="J637" i="1" s="1"/>
  <c r="I660" i="1"/>
  <c r="I664" i="1" s="1"/>
  <c r="I672" i="1" s="1"/>
  <c r="C7" i="10" s="1"/>
  <c r="D33" i="13"/>
  <c r="D36" i="13" s="1"/>
  <c r="H667" i="1"/>
  <c r="H672" i="1"/>
  <c r="C6" i="10" s="1"/>
  <c r="C145" i="2"/>
  <c r="F667" i="1"/>
  <c r="D12" i="10"/>
  <c r="D27" i="10"/>
  <c r="D18" i="10"/>
  <c r="D17" i="10"/>
  <c r="D24" i="10"/>
  <c r="D10" i="10"/>
  <c r="D26" i="10"/>
  <c r="D16" i="10"/>
  <c r="D20" i="10"/>
  <c r="D15" i="10"/>
  <c r="D25" i="10"/>
  <c r="D19" i="10"/>
  <c r="D13" i="10"/>
  <c r="D11" i="10"/>
  <c r="D21" i="10"/>
  <c r="D22" i="10"/>
  <c r="C30" i="10"/>
  <c r="C41" i="10"/>
  <c r="D38" i="10" s="1"/>
  <c r="J476" i="1" l="1"/>
  <c r="H626" i="1" s="1"/>
  <c r="J626" i="1" s="1"/>
  <c r="G470" i="1"/>
  <c r="G476" i="1" s="1"/>
  <c r="H623" i="1" s="1"/>
  <c r="J623" i="1" s="1"/>
  <c r="H628" i="1"/>
  <c r="J628" i="1" s="1"/>
  <c r="H633" i="1"/>
  <c r="H474" i="1"/>
  <c r="I476" i="1"/>
  <c r="H625" i="1" s="1"/>
  <c r="J625" i="1" s="1"/>
  <c r="J633" i="1"/>
  <c r="H476" i="1"/>
  <c r="H624" i="1" s="1"/>
  <c r="J624" i="1" s="1"/>
  <c r="F474" i="1"/>
  <c r="H632" i="1"/>
  <c r="J632" i="1" s="1"/>
  <c r="F470" i="1"/>
  <c r="H627" i="1"/>
  <c r="J627" i="1" s="1"/>
  <c r="I667" i="1"/>
  <c r="D28" i="10"/>
  <c r="D37" i="10"/>
  <c r="D36" i="10"/>
  <c r="D35" i="10"/>
  <c r="D40" i="10"/>
  <c r="D39" i="10"/>
  <c r="F476" i="1" l="1"/>
  <c r="H622" i="1" s="1"/>
  <c r="D41" i="10"/>
  <c r="J622" i="1" l="1"/>
  <c r="H656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<sst xmlns="http://schemas.openxmlformats.org/spreadsheetml/2006/main" count="3959" uniqueCount="917">
  <si>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</si>
  <si>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</si>
  <si>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</si>
  <si>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</si>
  <si>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</si>
  <si>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</si>
  <si>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</si>
  <si>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</si>
  <si>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</si>
  <si>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</si>
  <si>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</si>
  <si>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</si>
  <si>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</si>
  <si>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</si>
  <si>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</si>
  <si>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</si>
  <si>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</si>
  <si>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</si>
  <si>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</si>
  <si>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</si>
  <si>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</si>
  <si>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</si>
  <si>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</si>
  <si>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</si>
  <si>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</si>
  <si>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</si>
  <si>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</si>
  <si>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</si>
  <si>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</si>
  <si>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</si>
  <si>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</si>
  <si>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</si>
  <si>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</si>
  <si>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</si>
  <si>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</si>
  <si>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</si>
  <si>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</si>
  <si>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</si>
  <si>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</si>
  <si>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</si>
  <si>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</si>
  <si>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</si>
  <si>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</si>
  <si>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</si>
  <si>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</si>
  <si>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</si>
  <si>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</si>
  <si>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</si>
  <si>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</si>
  <si>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</si>
  <si>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</si>
  <si>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</si>
  <si>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</si>
  <si>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</si>
  <si>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</si>
  <si>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</si>
  <si>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</si>
  <si>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</si>
  <si>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</si>
  <si>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</si>
  <si>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</si>
  <si>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</si>
  <si>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</si>
  <si>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</si>
  <si>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</si>
  <si>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</si>
  <si>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</si>
  <si>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</si>
  <si>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</si>
  <si>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</si>
  <si>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</si>
  <si>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</si>
  <si>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</si>
  <si>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</si>
  <si>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</si>
  <si>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</si>
  <si>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</si>
  <si>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</si>
  <si>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</si>
  <si>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</si>
  <si>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</si>
  <si>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</si>
  <si>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</si>
  <si>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</si>
  <si>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</si>
  <si>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</si>
  <si>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</si>
  <si>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</si>
  <si>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</si>
  <si>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</si>
  <si>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</si>
  <si>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</si>
  <si>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</si>
  <si>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</si>
  <si>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</si>
  <si>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</si>
  <si>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</si>
  <si>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</si>
  <si>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</si>
  <si>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</si>
  <si>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</si>
  <si>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</si>
  <si>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</si>
  <si>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</si>
  <si>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</si>
  <si>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</si>
  <si>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</si>
  <si>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</si>
  <si>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</si>
  <si>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</si>
  <si>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</si>
  <si>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</si>
  <si>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</si>
  <si>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</si>
  <si>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</si>
  <si>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</si>
  <si>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</si>
  <si>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</si>
  <si>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</si>
  <si>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</si>
  <si>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</si>
  <si>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</si>
  <si>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</si>
  <si>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</si>
  <si>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</si>
  <si>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</si>
  <si>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</si>
  <si>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</si>
  <si>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</si>
  <si>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</si>
  <si>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</si>
  <si>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</si>
  <si>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</si>
  <si>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</si>
  <si>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</si>
  <si>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</si>
  <si>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</si>
  <si>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</si>
  <si>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</si>
  <si>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</si>
  <si>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</si>
  <si>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</si>
  <si>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</si>
  <si>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</si>
  <si>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</si>
  <si>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</si>
  <si>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</si>
  <si>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</si>
  <si>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</si>
  <si>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</si>
  <si>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</si>
  <si>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</si>
  <si>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</si>
  <si>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</si>
  <si>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</si>
  <si>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</si>
  <si>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</si>
  <si>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</si>
  <si>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</si>
  <si>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</si>
  <si>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</si>
  <si>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</si>
  <si>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</si>
  <si>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</si>
  <si>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</si>
  <si>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</si>
  <si>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</si>
  <si>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</si>
  <si>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</si>
  <si>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</si>
  <si>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</si>
  <si>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</si>
  <si>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</si>
  <si>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</si>
  <si>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</si>
  <si>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</si>
  <si>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</si>
  <si>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</si>
  <si>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</si>
  <si>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</si>
  <si>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</si>
  <si>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</si>
  <si>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</si>
  <si>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</si>
  <si>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</si>
  <si>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</si>
  <si>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</si>
  <si>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</si>
  <si>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</si>
  <si>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</si>
  <si>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</si>
  <si>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</si>
  <si>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</si>
  <si>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</si>
  <si>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</si>
  <si>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</si>
  <si>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</si>
  <si>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</si>
  <si>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</si>
  <si>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</si>
  <si>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</si>
  <si>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</si>
  <si>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</si>
  <si>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</si>
  <si>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</si>
  <si>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</si>
  <si>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</si>
  <si>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</si>
  <si>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</si>
  <si>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</si>
  <si>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</si>
  <si>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</si>
  <si>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</si>
  <si>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</si>
  <si>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</si>
  <si>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</si>
  <si>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</si>
  <si>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</si>
  <si>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</si>
  <si>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</si>
  <si>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</si>
  <si>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</si>
  <si>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</si>
  <si>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</si>
  <si>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</si>
  <si>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</si>
  <si>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</si>
  <si>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</si>
  <si>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</si>
  <si>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</si>
  <si>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</si>
  <si>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</si>
  <si>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</si>
  <si>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</si>
  <si>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</si>
  <si>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</si>
  <si>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</si>
  <si>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</si>
  <si>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</si>
  <si>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</si>
  <si>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</si>
  <si>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</si>
  <si>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</si>
  <si>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</si>
  <si>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</si>
  <si>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</si>
  <si>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</si>
  <si>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</si>
  <si>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</si>
  <si>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</si>
  <si>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</si>
  <si>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</si>
  <si>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</si>
  <si>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</si>
  <si>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</si>
  <si>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</si>
  <si>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</si>
  <si>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</si>
  <si>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</si>
  <si>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</si>
  <si>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</si>
  <si>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</si>
  <si>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</si>
  <si>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</si>
  <si>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</si>
  <si>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</si>
  <si>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</si>
  <si>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</si>
  <si>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</si>
  <si>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</si>
  <si>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</si>
  <si>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</si>
  <si>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</si>
  <si>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</si>
  <si>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</si>
  <si>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</si>
  <si>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</si>
  <si>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</si>
  <si>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</si>
  <si>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</si>
  <si>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</si>
  <si>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</si>
  <si>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</si>
  <si>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</si>
  <si>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</si>
  <si>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</si>
  <si>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</si>
  <si>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</si>
  <si>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</si>
  <si>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</si>
  <si>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</si>
  <si>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</si>
  <si>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</si>
  <si>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</si>
  <si>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</si>
  <si>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</si>
  <si>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</si>
  <si>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</si>
  <si>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</si>
  <si>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</si>
  <si>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</si>
  <si>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</si>
  <si>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</si>
  <si>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</si>
  <si>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</si>
  <si>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</si>
  <si>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</si>
  <si>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</si>
  <si>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</si>
  <si>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</si>
  <si>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</si>
  <si>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</si>
  <si>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</si>
  <si>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</si>
  <si>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</si>
  <si>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</si>
  <si>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</si>
  <si>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</si>
  <si>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</si>
  <si>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</si>
  <si>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</si>
  <si>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</si>
  <si>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</si>
  <si>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</si>
  <si>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</si>
  <si>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</si>
  <si>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</si>
  <si>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</si>
  <si>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</si>
  <si>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</si>
  <si>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</si>
  <si>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</si>
  <si>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</si>
  <si>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</si>
  <si>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</si>
  <si>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</si>
  <si>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</si>
  <si>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</si>
  <si>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</si>
  <si>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</si>
  <si>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</si>
  <si>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</si>
  <si>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</si>
  <si>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</si>
  <si>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</si>
  <si>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</si>
  <si>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</si>
  <si>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</si>
  <si>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</si>
  <si>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</si>
  <si>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</si>
  <si>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</si>
  <si>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</si>
  <si>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</si>
  <si>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</si>
  <si>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</si>
  <si>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</si>
  <si>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</si>
  <si>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</si>
  <si>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</si>
  <si>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</si>
  <si>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</si>
  <si>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</si>
  <si>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</si>
  <si>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</si>
  <si>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</si>
  <si>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</si>
  <si>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</si>
  <si>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</si>
  <si>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</si>
  <si>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</si>
  <si>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</si>
  <si>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</si>
  <si>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</si>
  <si>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</si>
  <si>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</si>
  <si>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</si>
  <si>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</si>
  <si>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</si>
  <si>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</si>
  <si>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</si>
  <si>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</si>
  <si>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</si>
  <si>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</si>
  <si>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</si>
  <si>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</si>
  <si>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</si>
  <si>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</si>
  <si>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</si>
  <si>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</si>
  <si>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</si>
  <si>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</si>
  <si>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</si>
  <si>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</si>
  <si>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</si>
  <si>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</si>
  <si>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</si>
  <si>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</si>
  <si>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</si>
  <si>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</si>
  <si>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</si>
  <si>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</si>
  <si>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</si>
  <si>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</si>
  <si>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</si>
  <si>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</si>
  <si>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</si>
  <si>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</si>
  <si>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</si>
  <si>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</si>
  <si>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</si>
  <si>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</si>
  <si>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</si>
  <si>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</si>
  <si>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</si>
  <si>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</si>
  <si>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</si>
  <si>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</si>
  <si>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</si>
  <si>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</si>
  <si>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</si>
  <si>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</si>
  <si>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</si>
  <si>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</si>
  <si>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</si>
  <si>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</si>
  <si>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</si>
  <si>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</si>
  <si>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</si>
  <si>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</si>
  <si>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</si>
  <si>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</si>
  <si>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</si>
  <si>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</si>
  <si>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</si>
  <si>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</si>
  <si>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</si>
  <si>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</si>
  <si>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</si>
  <si>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</si>
  <si>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</si>
  <si>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</si>
  <si>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</si>
  <si>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</si>
  <si>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</si>
  <si>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</si>
  <si>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</si>
  <si>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</si>
  <si>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</si>
  <si>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</si>
  <si>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</si>
  <si>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</si>
  <si>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</si>
  <si>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</si>
  <si>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</si>
  <si>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</si>
  <si>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</si>
  <si>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</si>
  <si>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</si>
  <si>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</si>
  <si>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</si>
  <si>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</si>
  <si>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</si>
  <si>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</si>
  <si>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</si>
  <si>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</si>
  <si>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</si>
  <si>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</si>
  <si>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</si>
  <si>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</si>
  <si>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</si>
  <si>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</si>
  <si>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</si>
  <si>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</si>
  <si>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</si>
  <si>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</si>
  <si>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</si>
  <si>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</si>
  <si>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</si>
  <si>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</si>
  <si>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</si>
  <si>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</si>
  <si>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</si>
  <si>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</si>
  <si>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</si>
  <si>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</si>
  <si>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</si>
  <si>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</si>
  <si>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</si>
  <si>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</si>
  <si>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</si>
  <si>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</si>
  <si>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</si>
  <si>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</si>
  <si>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</si>
  <si>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</si>
  <si>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</si>
  <si>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</si>
  <si>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</si>
  <si>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</si>
  <si>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</si>
  <si>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</si>
  <si>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</si>
  <si>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</si>
  <si>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</si>
  <si>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</si>
  <si>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</si>
  <si>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</si>
  <si>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</si>
  <si>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</si>
  <si>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</si>
  <si>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</si>
  <si>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</si>
  <si>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</si>
  <si>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</si>
  <si>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</si>
  <si>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</si>
  <si>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</si>
  <si>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</si>
  <si>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</si>
  <si>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</si>
  <si>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</si>
  <si>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</si>
  <si>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</si>
  <si>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</si>
  <si>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</si>
  <si>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</si>
  <si>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</si>
  <si>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</si>
  <si>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</si>
  <si>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</si>
  <si>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</si>
  <si>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</si>
  <si>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</si>
  <si>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</si>
  <si>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</si>
  <si>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</si>
  <si>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</si>
  <si>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</si>
  <si>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</si>
  <si>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</si>
  <si>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</si>
  <si>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</si>
  <si>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</si>
  <si>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</si>
  <si>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</si>
  <si>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</si>
  <si>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</si>
  <si>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</si>
  <si>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</si>
  <si>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</si>
  <si>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</si>
  <si>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</si>
  <si>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</si>
  <si>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</si>
  <si>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</si>
  <si>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</si>
  <si>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</si>
  <si>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</si>
  <si>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</si>
  <si>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</si>
  <si>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</si>
  <si>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</si>
  <si>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</si>
  <si>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</si>
  <si>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</si>
  <si>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</si>
  <si>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</si>
  <si>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</si>
  <si>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</si>
  <si>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</si>
  <si>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</si>
  <si>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</si>
  <si>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</si>
  <si>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</si>
  <si>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</si>
  <si>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</si>
  <si>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</si>
  <si>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</si>
  <si>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</si>
  <si>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</si>
  <si>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</si>
  <si>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</si>
  <si>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</si>
  <si>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</si>
  <si>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</si>
  <si>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</si>
  <si>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</si>
  <si>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</si>
  <si>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</si>
  <si>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</si>
  <si>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</si>
  <si>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</si>
  <si>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</si>
  <si>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</si>
  <si>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</si>
  <si>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</si>
  <si>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</si>
  <si>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</si>
  <si>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</si>
  <si>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</si>
  <si>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</si>
  <si>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</si>
  <si>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</si>
  <si>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</si>
  <si>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</si>
  <si>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</si>
  <si>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</si>
  <si>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</si>
  <si>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</si>
  <si>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</si>
  <si>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</si>
  <si>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</si>
  <si>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</si>
  <si>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</si>
  <si>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</si>
  <si>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</si>
  <si>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</si>
  <si>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</si>
  <si>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</si>
  <si>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</si>
  <si>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</si>
  <si>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</si>
  <si>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</si>
  <si>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</si>
  <si>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</si>
  <si>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</si>
  <si>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</si>
  <si>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</si>
  <si>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</si>
  <si>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</si>
  <si>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</si>
  <si>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</si>
  <si>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</si>
  <si>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</si>
  <si>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</si>
  <si>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</si>
  <si>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</si>
  <si>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</si>
  <si>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</si>
  <si>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</si>
  <si>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</si>
  <si>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</si>
  <si>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</si>
  <si>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</si>
  <si>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</si>
  <si>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</si>
  <si>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</si>
  <si>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</si>
  <si>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</si>
  <si>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</si>
  <si>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</si>
  <si>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</si>
  <si>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</si>
  <si>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</si>
  <si>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</si>
  <si>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</si>
  <si>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</si>
  <si>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</si>
  <si>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</si>
  <si>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</si>
  <si>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</si>
  <si>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</si>
  <si>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</si>
  <si>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</si>
  <si>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</si>
  <si>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</si>
  <si>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</si>
  <si>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</si>
  <si>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</si>
  <si>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</si>
  <si>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</si>
  <si>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</si>
  <si>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</si>
  <si>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</si>
  <si>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</si>
  <si>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</si>
  <si>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</si>
  <si>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</si>
  <si>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</si>
  <si>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</si>
  <si>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</si>
  <si>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</si>
  <si>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</si>
  <si>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</si>
  <si>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</si>
  <si>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</si>
  <si>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</si>
  <si>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</si>
  <si>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</si>
  <si>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</si>
  <si>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</si>
  <si>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</si>
  <si>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</si>
  <si>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</si>
  <si>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</si>
  <si>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</si>
  <si>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</si>
  <si>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</si>
  <si>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</si>
  <si>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</si>
  <si>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</si>
  <si>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</si>
  <si>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</si>
  <si>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</si>
  <si>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</si>
  <si>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</si>
  <si>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</si>
  <si>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</si>
  <si>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</si>
  <si>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</si>
  <si>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</si>
  <si>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</si>
  <si>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</si>
  <si>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</si>
  <si>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</si>
  <si>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</si>
  <si>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</si>
  <si>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</si>
  <si>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</si>
  <si>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</si>
  <si>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</si>
  <si>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</si>
  <si>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</si>
  <si>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</si>
  <si>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</si>
  <si>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</si>
  <si>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</si>
  <si>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</si>
  <si>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</si>
  <si>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</si>
  <si>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</si>
  <si>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</si>
  <si>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</si>
  <si>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</si>
  <si>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</si>
  <si>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</si>
  <si>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</si>
  <si>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</si>
  <si>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</si>
  <si>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</si>
  <si>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</si>
  <si>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</si>
  <si>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</si>
  <si>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</si>
  <si>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</si>
  <si>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</si>
  <si>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</si>
  <si>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</si>
  <si>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</si>
  <si>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</si>
  <si>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</si>
  <si>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</si>
  <si>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</si>
  <si>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</si>
  <si>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</si>
  <si>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</si>
  <si>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</si>
  <si>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</si>
  <si>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</si>
  <si>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</si>
  <si>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</si>
  <si>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</si>
  <si>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</si>
  <si>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</si>
  <si>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</si>
  <si>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</si>
  <si>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</si>
  <si>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</si>
  <si>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</si>
  <si>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</si>
  <si>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</si>
  <si>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</si>
  <si>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</si>
  <si>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</si>
  <si>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</si>
  <si>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</si>
  <si>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</si>
  <si>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</si>
  <si>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</si>
  <si>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</si>
  <si>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</si>
  <si>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</si>
  <si>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</si>
  <si>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</si>
  <si>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</si>
  <si>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</si>
  <si>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</si>
  <si>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</si>
  <si>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</si>
  <si>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</si>
  <si>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</si>
  <si>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</si>
  <si>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</si>
  <si>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</si>
  <si>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</si>
  <si>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</si>
  <si>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</si>
  <si>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</si>
  <si>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</si>
  <si>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</si>
  <si>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</si>
  <si>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</si>
  <si>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</si>
  <si>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</si>
  <si>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</si>
  <si>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</si>
  <si>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</si>
  <si>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</si>
  <si>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</si>
  <si>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</si>
  <si>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</si>
  <si>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</si>
  <si>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</si>
  <si>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</si>
  <si>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</si>
  <si>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</si>
  <si>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</si>
  <si>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</si>
  <si>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</si>
  <si>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</si>
  <si>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</si>
  <si>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</si>
  <si>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</si>
  <si>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</si>
  <si>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</si>
  <si>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</si>
  <si>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</si>
  <si>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</si>
  <si>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</si>
  <si>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</si>
  <si>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</si>
  <si>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</si>
  <si>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</si>
  <si>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</si>
  <si>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</si>
  <si>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</si>
  <si>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</si>
  <si>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</si>
  <si>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</si>
  <si>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</si>
  <si>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</si>
  <si>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</si>
  <si>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</si>
  <si>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</si>
  <si>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</si>
  <si>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</si>
  <si>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</si>
  <si>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</si>
  <si>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</si>
  <si>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</si>
  <si>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</si>
  <si>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</si>
  <si>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</si>
  <si>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</si>
  <si>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</si>
  <si>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</si>
  <si>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</si>
  <si>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</si>
  <si>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</si>
  <si>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</si>
  <si>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</si>
  <si>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</si>
  <si>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</si>
  <si>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</si>
  <si>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</si>
  <si>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</si>
  <si>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</si>
  <si>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</si>
  <si>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</si>
  <si>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</si>
  <si>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</si>
  <si>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</si>
  <si>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</si>
  <si>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</si>
  <si>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</si>
  <si>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</si>
  <si>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</si>
  <si>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</si>
  <si>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</si>
  <si>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</si>
  <si>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</si>
  <si>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</si>
  <si>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</si>
  <si>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</si>
  <si>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</si>
  <si>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</si>
  <si>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</si>
  <si>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</si>
  <si>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</si>
  <si>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</si>
  <si>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</si>
  <si>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</si>
  <si>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</si>
  <si>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</si>
  <si>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</si>
  <si>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</si>
  <si>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</si>
  <si>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</si>
  <si>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</si>
  <si>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</si>
  <si>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</si>
  <si>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</si>
  <si>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</si>
  <si>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</si>
  <si>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</si>
  <si>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</si>
  <si>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</si>
  <si>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</si>
  <si>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</si>
  <si>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</si>
  <si>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</si>
  <si>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WESTMORELAND SCHOOL DISTRICT</t>
  </si>
  <si>
    <t>08/07</t>
  </si>
  <si>
    <t>08/15</t>
  </si>
  <si>
    <t>08/17</t>
  </si>
  <si>
    <t>08/20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</si>
</sst>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06" zoomScaleNormal="106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C3" sqref="C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563</v>
      </c>
      <c r="C2" s="21">
        <v>563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f>179147.85-47404.14</f>
        <v>131743.71000000002</v>
      </c>
      <c r="G9" s="18">
        <v>1773.53</v>
      </c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>
        <v>4017.82</v>
      </c>
      <c r="G10" s="18"/>
      <c r="H10" s="18"/>
      <c r="I10" s="18"/>
      <c r="J10" s="67">
        <f>SUM(I440)</f>
        <v>235271.06999999998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f>1025.88+8719.01</f>
        <v>9744.89</v>
      </c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4697.51</v>
      </c>
      <c r="G13" s="18">
        <v>291.2</v>
      </c>
      <c r="H13" s="18">
        <v>9856.4699999999993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150203.93000000005</v>
      </c>
      <c r="G19" s="41">
        <f>SUM(G9:G18)</f>
        <v>2064.73</v>
      </c>
      <c r="H19" s="41">
        <f>SUM(H9:H18)</f>
        <v>9856.4699999999993</v>
      </c>
      <c r="I19" s="41">
        <f>SUM(I9:I18)</f>
        <v>0</v>
      </c>
      <c r="J19" s="41">
        <f>SUM(J9:J18)</f>
        <v>235271.06999999998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>
        <v>1025.8800000000001</v>
      </c>
      <c r="H22" s="18">
        <v>8719.01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>
        <v>1200.7</v>
      </c>
      <c r="G23" s="18"/>
      <c r="H23" s="18">
        <v>1137.46</v>
      </c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12850.25</v>
      </c>
      <c r="G24" s="18"/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2276.69</v>
      </c>
      <c r="G28" s="18">
        <v>126.75</v>
      </c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>
        <v>912.1</v>
      </c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16327.640000000001</v>
      </c>
      <c r="G32" s="41">
        <f>SUM(G22:G31)</f>
        <v>2064.73</v>
      </c>
      <c r="H32" s="41">
        <f>SUM(H22:H31)</f>
        <v>9856.4700000000012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28900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235271.06999999998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104976.29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133876.28999999998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235271.06999999998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150203.93</v>
      </c>
      <c r="G52" s="41">
        <f>G51+G32</f>
        <v>2064.73</v>
      </c>
      <c r="H52" s="41">
        <f>H51+H32</f>
        <v>9856.4700000000012</v>
      </c>
      <c r="I52" s="41">
        <f>I51+I32</f>
        <v>0</v>
      </c>
      <c r="J52" s="41">
        <f>J51+J32</f>
        <v>235271.06999999998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2452824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2452824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>
        <v>300</v>
      </c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300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>
        <v>1252.5</v>
      </c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1252.5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1228.02</v>
      </c>
      <c r="G96" s="18"/>
      <c r="H96" s="18"/>
      <c r="I96" s="18"/>
      <c r="J96" s="18">
        <f>123.44+33.09+0.79</f>
        <v>157.32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f>25084.8+2042.5+165</f>
        <v>27292.3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13.01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6117.32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7358.3499999999995</v>
      </c>
      <c r="G111" s="41">
        <f>SUM(G96:G110)</f>
        <v>27292.3</v>
      </c>
      <c r="H111" s="41">
        <f>SUM(H96:H110)</f>
        <v>0</v>
      </c>
      <c r="I111" s="41">
        <f>SUM(I96:I110)</f>
        <v>0</v>
      </c>
      <c r="J111" s="41">
        <f>SUM(J96:J110)</f>
        <v>157.32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2461734.85</v>
      </c>
      <c r="G112" s="41">
        <f>G60+G111</f>
        <v>27292.3</v>
      </c>
      <c r="H112" s="41">
        <f>H60+H79+H94+H111</f>
        <v>0</v>
      </c>
      <c r="I112" s="41">
        <f>I60+I111</f>
        <v>0</v>
      </c>
      <c r="J112" s="41">
        <f>J60+J111</f>
        <v>157.32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694350.82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388481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1082831.8199999998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12150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23593.51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/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35743.509999999995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1118575.3299999998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>
        <f>7885.32+4322.99</f>
        <v>12208.31</v>
      </c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f>457.3+18071.02</f>
        <v>18528.32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f>-193.83+6975.42</f>
        <v>6781.59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23183.51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f>890.47+36191.67</f>
        <v>37082.14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25150.46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25150.46</v>
      </c>
      <c r="G162" s="41">
        <f>SUM(G150:G161)</f>
        <v>23183.51</v>
      </c>
      <c r="H162" s="41">
        <f>SUM(H150:H161)</f>
        <v>74600.36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25150.46</v>
      </c>
      <c r="G169" s="41">
        <f>G147+G162+SUM(G163:G168)</f>
        <v>23183.51</v>
      </c>
      <c r="H169" s="41">
        <f>H147+H162+SUM(H163:H168)</f>
        <v>74600.36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46481.74</v>
      </c>
      <c r="H179" s="18"/>
      <c r="I179" s="18"/>
      <c r="J179" s="18">
        <v>15000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46481.74</v>
      </c>
      <c r="H183" s="41">
        <f>SUM(H179:H182)</f>
        <v>0</v>
      </c>
      <c r="I183" s="41">
        <f>SUM(I179:I182)</f>
        <v>0</v>
      </c>
      <c r="J183" s="41">
        <f>SUM(J179:J182)</f>
        <v>15000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>
        <v>63875</v>
      </c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63875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63875</v>
      </c>
      <c r="G192" s="41">
        <f>G183+SUM(G188:G191)</f>
        <v>46481.74</v>
      </c>
      <c r="H192" s="41">
        <f>+H183+SUM(H188:H191)</f>
        <v>0</v>
      </c>
      <c r="I192" s="41">
        <f>I177+I183+SUM(I188:I191)</f>
        <v>0</v>
      </c>
      <c r="J192" s="41">
        <f>J183</f>
        <v>15000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3669335.6399999997</v>
      </c>
      <c r="G193" s="47">
        <f>G112+G140+G169+G192</f>
        <v>96957.549999999988</v>
      </c>
      <c r="H193" s="47">
        <f>H112+H140+H169+H192</f>
        <v>74600.36</v>
      </c>
      <c r="I193" s="47">
        <f>I112+I140+I169+I192</f>
        <v>0</v>
      </c>
      <c r="J193" s="47">
        <f>J112+J140+J192</f>
        <v>15157.32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679976.9</v>
      </c>
      <c r="G197" s="18">
        <v>309000.03999999998</v>
      </c>
      <c r="H197" s="18">
        <v>248.35</v>
      </c>
      <c r="I197" s="18">
        <v>17311.32</v>
      </c>
      <c r="J197" s="18">
        <v>3583.68</v>
      </c>
      <c r="K197" s="18"/>
      <c r="L197" s="19">
        <f>SUM(F197:K197)</f>
        <v>1010120.2899999999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f>112344.14+7325.96</f>
        <v>119670.1</v>
      </c>
      <c r="G198" s="18">
        <f>58912.45+585.34</f>
        <v>59497.789999999994</v>
      </c>
      <c r="H198" s="18">
        <v>127114.42</v>
      </c>
      <c r="I198" s="18">
        <v>704.64</v>
      </c>
      <c r="J198" s="18">
        <v>1200</v>
      </c>
      <c r="K198" s="18"/>
      <c r="L198" s="19">
        <f>SUM(F198:K198)</f>
        <v>308186.95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f>11059.96+2000</f>
        <v>13059.96</v>
      </c>
      <c r="G200" s="18">
        <f>2141.84+274.71</f>
        <v>2416.5500000000002</v>
      </c>
      <c r="H200" s="18">
        <v>5253.31</v>
      </c>
      <c r="I200" s="18">
        <v>1558.89</v>
      </c>
      <c r="J200" s="18">
        <v>83.92</v>
      </c>
      <c r="K200" s="18">
        <v>2208</v>
      </c>
      <c r="L200" s="19">
        <f>SUM(F200:K200)</f>
        <v>24580.629999999997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f>32340.1+23579.92+7367.88</f>
        <v>63287.899999999994</v>
      </c>
      <c r="G202" s="18">
        <f>2593.52+1890.92+590.88</f>
        <v>5075.3200000000006</v>
      </c>
      <c r="H202" s="18">
        <f>56222.88+34252.15</f>
        <v>90475.03</v>
      </c>
      <c r="I202" s="18">
        <v>269.18</v>
      </c>
      <c r="J202" s="18"/>
      <c r="K202" s="18"/>
      <c r="L202" s="19">
        <f t="shared" ref="L202:L208" si="0">SUM(F202:K202)</f>
        <v>159107.43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f>500+58600.1</f>
        <v>59100.1</v>
      </c>
      <c r="G203" s="18">
        <f>116.6+1750+21807.26</f>
        <v>23673.859999999997</v>
      </c>
      <c r="H203" s="18">
        <v>3914.98</v>
      </c>
      <c r="I203" s="18">
        <f>45.4+2347.1</f>
        <v>2392.5</v>
      </c>
      <c r="J203" s="18"/>
      <c r="K203" s="18"/>
      <c r="L203" s="19">
        <f t="shared" si="0"/>
        <v>89081.439999999988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f>323+2000</f>
        <v>2323</v>
      </c>
      <c r="G204" s="18">
        <f>58.08+165</f>
        <v>223.07999999999998</v>
      </c>
      <c r="H204" s="18">
        <f>105.22+100+80+176+6950+162+100+165502</f>
        <v>173175.22</v>
      </c>
      <c r="I204" s="18">
        <v>1022.94</v>
      </c>
      <c r="J204" s="18">
        <v>1438.05</v>
      </c>
      <c r="K204" s="18"/>
      <c r="L204" s="19">
        <f t="shared" si="0"/>
        <v>178182.28999999998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112690.37</v>
      </c>
      <c r="G205" s="18">
        <v>62302.09</v>
      </c>
      <c r="H205" s="18">
        <v>12957.28</v>
      </c>
      <c r="I205" s="18">
        <f>2480.7+293.91</f>
        <v>2774.6099999999997</v>
      </c>
      <c r="J205" s="18"/>
      <c r="K205" s="18"/>
      <c r="L205" s="19">
        <f t="shared" si="0"/>
        <v>190724.34999999998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61867.57</v>
      </c>
      <c r="G207" s="18">
        <v>31674.720000000001</v>
      </c>
      <c r="H207" s="18">
        <v>52933.24</v>
      </c>
      <c r="I207" s="18">
        <v>44297.29</v>
      </c>
      <c r="J207" s="18"/>
      <c r="K207" s="18"/>
      <c r="L207" s="19">
        <f t="shared" si="0"/>
        <v>190772.82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f>147403.7+26719+3418.75+3468.25</f>
        <v>181009.7</v>
      </c>
      <c r="I208" s="18"/>
      <c r="J208" s="18"/>
      <c r="K208" s="18"/>
      <c r="L208" s="19">
        <f t="shared" si="0"/>
        <v>181009.7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>
        <v>1268.75</v>
      </c>
      <c r="I209" s="18"/>
      <c r="J209" s="18"/>
      <c r="K209" s="18"/>
      <c r="L209" s="19">
        <f>SUM(F209:K209)</f>
        <v>1268.75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1111975.9000000001</v>
      </c>
      <c r="G211" s="41">
        <f t="shared" si="1"/>
        <v>493863.44999999995</v>
      </c>
      <c r="H211" s="41">
        <f t="shared" si="1"/>
        <v>648350.28</v>
      </c>
      <c r="I211" s="41">
        <f t="shared" si="1"/>
        <v>70331.37</v>
      </c>
      <c r="J211" s="41">
        <f t="shared" si="1"/>
        <v>6305.6500000000005</v>
      </c>
      <c r="K211" s="41">
        <f t="shared" si="1"/>
        <v>2208</v>
      </c>
      <c r="L211" s="41">
        <f t="shared" si="1"/>
        <v>2333034.65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907357.46</v>
      </c>
      <c r="I233" s="18"/>
      <c r="J233" s="18"/>
      <c r="K233" s="18"/>
      <c r="L233" s="19">
        <f>SUM(F233:K233)</f>
        <v>907357.46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>
        <v>122956.77</v>
      </c>
      <c r="I234" s="18"/>
      <c r="J234" s="18"/>
      <c r="K234" s="18"/>
      <c r="L234" s="19">
        <f>SUM(F234:K234)</f>
        <v>122956.77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54508.6</v>
      </c>
      <c r="I244" s="18"/>
      <c r="J244" s="18"/>
      <c r="K244" s="18"/>
      <c r="L244" s="19">
        <f t="shared" si="4"/>
        <v>54508.6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1084822.83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1084822.83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v>63875</v>
      </c>
      <c r="I255" s="18"/>
      <c r="J255" s="18"/>
      <c r="K255" s="18"/>
      <c r="L255" s="19">
        <f t="shared" si="6"/>
        <v>63875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63875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63875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1111975.9000000001</v>
      </c>
      <c r="G257" s="41">
        <f t="shared" si="8"/>
        <v>493863.44999999995</v>
      </c>
      <c r="H257" s="41">
        <f t="shared" si="8"/>
        <v>1797048.11</v>
      </c>
      <c r="I257" s="41">
        <f t="shared" si="8"/>
        <v>70331.37</v>
      </c>
      <c r="J257" s="41">
        <f t="shared" si="8"/>
        <v>6305.6500000000005</v>
      </c>
      <c r="K257" s="41">
        <f t="shared" si="8"/>
        <v>2208</v>
      </c>
      <c r="L257" s="41">
        <f t="shared" si="8"/>
        <v>3481732.48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125000</v>
      </c>
      <c r="L260" s="19">
        <f>SUM(F260:K260)</f>
        <v>125000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18149.5</v>
      </c>
      <c r="L261" s="19">
        <f>SUM(F261:K261)</f>
        <v>18149.5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46481.74</v>
      </c>
      <c r="L263" s="19">
        <f>SUM(F263:K263)</f>
        <v>46481.74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15000</v>
      </c>
      <c r="L266" s="19">
        <f t="shared" si="9"/>
        <v>15000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204631.24</v>
      </c>
      <c r="L270" s="41">
        <f t="shared" si="9"/>
        <v>204631.24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1111975.9000000001</v>
      </c>
      <c r="G271" s="42">
        <f t="shared" si="11"/>
        <v>493863.44999999995</v>
      </c>
      <c r="H271" s="42">
        <f t="shared" si="11"/>
        <v>1797048.11</v>
      </c>
      <c r="I271" s="42">
        <f t="shared" si="11"/>
        <v>70331.37</v>
      </c>
      <c r="J271" s="42">
        <f t="shared" si="11"/>
        <v>6305.6500000000005</v>
      </c>
      <c r="K271" s="42">
        <f t="shared" si="11"/>
        <v>206839.24</v>
      </c>
      <c r="L271" s="42">
        <f t="shared" si="11"/>
        <v>3686363.7199999997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15835.07</v>
      </c>
      <c r="G276" s="18">
        <f>1211.38+66.26</f>
        <v>1277.6400000000001</v>
      </c>
      <c r="H276" s="18"/>
      <c r="I276" s="18">
        <f>155.65+328.5</f>
        <v>484.15</v>
      </c>
      <c r="J276" s="18">
        <f>1577.96+6151.71+3994.49</f>
        <v>11724.16</v>
      </c>
      <c r="K276" s="18"/>
      <c r="L276" s="19">
        <f>SUM(F276:K276)</f>
        <v>29321.02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30166.91</v>
      </c>
      <c r="G277" s="18"/>
      <c r="H277" s="18"/>
      <c r="I277" s="18">
        <v>2347.0300000000002</v>
      </c>
      <c r="J277" s="18">
        <v>1432</v>
      </c>
      <c r="K277" s="18"/>
      <c r="L277" s="19">
        <f>SUM(F277:K277)</f>
        <v>33945.94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>
        <v>326.48</v>
      </c>
      <c r="K281" s="18"/>
      <c r="L281" s="19">
        <f t="shared" ref="L281:L287" si="12">SUM(F281:K281)</f>
        <v>326.48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f>-450+3375</f>
        <v>2925</v>
      </c>
      <c r="G282" s="18">
        <f>-34.43+258.17-70.52+528.88-2.52+14.62</f>
        <v>694.2</v>
      </c>
      <c r="H282" s="18">
        <f>1700+679.18</f>
        <v>2379.1799999999998</v>
      </c>
      <c r="I282" s="18"/>
      <c r="J282" s="18"/>
      <c r="K282" s="18"/>
      <c r="L282" s="19">
        <f t="shared" si="12"/>
        <v>5998.3799999999992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>
        <v>5008.54</v>
      </c>
      <c r="L285" s="19">
        <f t="shared" si="12"/>
        <v>5008.54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48926.979999999996</v>
      </c>
      <c r="G290" s="42">
        <f t="shared" si="13"/>
        <v>1971.8400000000001</v>
      </c>
      <c r="H290" s="42">
        <f t="shared" si="13"/>
        <v>2379.1799999999998</v>
      </c>
      <c r="I290" s="42">
        <f t="shared" si="13"/>
        <v>2831.1800000000003</v>
      </c>
      <c r="J290" s="42">
        <f t="shared" si="13"/>
        <v>13482.64</v>
      </c>
      <c r="K290" s="42">
        <f t="shared" si="13"/>
        <v>5008.54</v>
      </c>
      <c r="L290" s="41">
        <f t="shared" si="13"/>
        <v>74600.36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48926.979999999996</v>
      </c>
      <c r="G338" s="41">
        <f t="shared" si="20"/>
        <v>1971.8400000000001</v>
      </c>
      <c r="H338" s="41">
        <f t="shared" si="20"/>
        <v>2379.1799999999998</v>
      </c>
      <c r="I338" s="41">
        <f t="shared" si="20"/>
        <v>2831.1800000000003</v>
      </c>
      <c r="J338" s="41">
        <f t="shared" si="20"/>
        <v>13482.64</v>
      </c>
      <c r="K338" s="41">
        <f t="shared" si="20"/>
        <v>5008.54</v>
      </c>
      <c r="L338" s="41">
        <f t="shared" si="20"/>
        <v>74600.36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48926.979999999996</v>
      </c>
      <c r="G352" s="41">
        <f>G338</f>
        <v>1971.8400000000001</v>
      </c>
      <c r="H352" s="41">
        <f>H338</f>
        <v>2379.1799999999998</v>
      </c>
      <c r="I352" s="41">
        <f>I338</f>
        <v>2831.1800000000003</v>
      </c>
      <c r="J352" s="41">
        <f>J338</f>
        <v>13482.64</v>
      </c>
      <c r="K352" s="47">
        <f>K338+K351</f>
        <v>5008.54</v>
      </c>
      <c r="L352" s="41">
        <f>L338+L351</f>
        <v>74600.36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34363.410000000003</v>
      </c>
      <c r="G358" s="18">
        <f>14315.99+482.75+53.1+87.48+2373.09+2823.29+821.93</f>
        <v>20957.63</v>
      </c>
      <c r="H358" s="18">
        <f>2866.45+347.95</f>
        <v>3214.3999999999996</v>
      </c>
      <c r="I358" s="18">
        <f>7453.77+31351.37+240</f>
        <v>39045.14</v>
      </c>
      <c r="J358" s="18">
        <v>-200</v>
      </c>
      <c r="K358" s="18"/>
      <c r="L358" s="13">
        <f>SUM(F358:K358)</f>
        <v>97380.580000000016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34363.410000000003</v>
      </c>
      <c r="G362" s="47">
        <f t="shared" si="22"/>
        <v>20957.63</v>
      </c>
      <c r="H362" s="47">
        <f t="shared" si="22"/>
        <v>3214.3999999999996</v>
      </c>
      <c r="I362" s="47">
        <f t="shared" si="22"/>
        <v>39045.14</v>
      </c>
      <c r="J362" s="47">
        <f t="shared" si="22"/>
        <v>-200</v>
      </c>
      <c r="K362" s="47">
        <f t="shared" si="22"/>
        <v>0</v>
      </c>
      <c r="L362" s="47">
        <f t="shared" si="22"/>
        <v>97380.580000000016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f>31351.37+240</f>
        <v>31591.37</v>
      </c>
      <c r="G367" s="18"/>
      <c r="H367" s="18"/>
      <c r="I367" s="56">
        <f>SUM(F367:H367)</f>
        <v>31591.37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7453.77</v>
      </c>
      <c r="G368" s="63"/>
      <c r="H368" s="63"/>
      <c r="I368" s="56">
        <f>SUM(F368:H368)</f>
        <v>7453.77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39045.14</v>
      </c>
      <c r="G369" s="47">
        <f>SUM(G367:G368)</f>
        <v>0</v>
      </c>
      <c r="H369" s="47">
        <f>SUM(H367:H368)</f>
        <v>0</v>
      </c>
      <c r="I369" s="47">
        <f>SUM(I367:I368)</f>
        <v>39045.14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>
        <v>15000</v>
      </c>
      <c r="H389" s="18">
        <v>33.090000000000003</v>
      </c>
      <c r="I389" s="18"/>
      <c r="J389" s="24" t="s">
        <v>288</v>
      </c>
      <c r="K389" s="24" t="s">
        <v>288</v>
      </c>
      <c r="L389" s="56">
        <f t="shared" si="25"/>
        <v>15033.09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15000</v>
      </c>
      <c r="H393" s="139">
        <f>SUM(H387:H392)</f>
        <v>33.090000000000003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15033.09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>
        <v>123.44</v>
      </c>
      <c r="I398" s="18"/>
      <c r="J398" s="24" t="s">
        <v>288</v>
      </c>
      <c r="K398" s="24" t="s">
        <v>288</v>
      </c>
      <c r="L398" s="56">
        <f t="shared" si="26"/>
        <v>123.44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>
        <v>0.79</v>
      </c>
      <c r="I400" s="18"/>
      <c r="J400" s="24" t="s">
        <v>288</v>
      </c>
      <c r="K400" s="24" t="s">
        <v>288</v>
      </c>
      <c r="L400" s="56">
        <f t="shared" si="26"/>
        <v>0.79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124.23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124.23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15000</v>
      </c>
      <c r="H408" s="47">
        <f>H393+H401+H407</f>
        <v>157.32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15157.32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>
        <v>63875</v>
      </c>
      <c r="I415" s="18"/>
      <c r="J415" s="18"/>
      <c r="K415" s="18"/>
      <c r="L415" s="56">
        <f t="shared" si="27"/>
        <v>63875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63875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63875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63875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63875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>
        <v>16976.12</v>
      </c>
      <c r="G440" s="18">
        <f>217191.9+1103.05</f>
        <v>218294.94999999998</v>
      </c>
      <c r="H440" s="18"/>
      <c r="I440" s="56">
        <f t="shared" si="33"/>
        <v>235271.06999999998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16976.12</v>
      </c>
      <c r="G446" s="13">
        <f>SUM(G439:G445)</f>
        <v>218294.94999999998</v>
      </c>
      <c r="H446" s="13">
        <f>SUM(H439:H445)</f>
        <v>0</v>
      </c>
      <c r="I446" s="13">
        <f>SUM(I439:I445)</f>
        <v>235271.06999999998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f>F440</f>
        <v>16976.12</v>
      </c>
      <c r="G459" s="18">
        <f>G440</f>
        <v>218294.94999999998</v>
      </c>
      <c r="H459" s="18"/>
      <c r="I459" s="56">
        <f t="shared" si="34"/>
        <v>235271.06999999998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16976.12</v>
      </c>
      <c r="G460" s="83">
        <f>SUM(G454:G459)</f>
        <v>218294.94999999998</v>
      </c>
      <c r="H460" s="83">
        <f>SUM(H454:H459)</f>
        <v>0</v>
      </c>
      <c r="I460" s="83">
        <f>SUM(I454:I459)</f>
        <v>235271.06999999998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16976.12</v>
      </c>
      <c r="G461" s="42">
        <f>G452+G460</f>
        <v>218294.94999999998</v>
      </c>
      <c r="H461" s="42">
        <f>H452+H460</f>
        <v>0</v>
      </c>
      <c r="I461" s="42">
        <f>I452+I460</f>
        <v>235271.06999999998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150904.37</v>
      </c>
      <c r="G465" s="18">
        <v>423.03</v>
      </c>
      <c r="H465" s="18">
        <v>0</v>
      </c>
      <c r="I465" s="18">
        <v>0</v>
      </c>
      <c r="J465" s="18">
        <v>283988.75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3669335.64</v>
      </c>
      <c r="G468" s="18">
        <v>96957.55</v>
      </c>
      <c r="H468" s="18">
        <f>H193</f>
        <v>74600.36</v>
      </c>
      <c r="I468" s="18">
        <f>I193</f>
        <v>0</v>
      </c>
      <c r="J468" s="18">
        <f>J193</f>
        <v>15157.32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3669335.64</v>
      </c>
      <c r="G470" s="53">
        <f>SUM(G468:G469)</f>
        <v>96957.55</v>
      </c>
      <c r="H470" s="53">
        <f>SUM(H468:H469)</f>
        <v>74600.36</v>
      </c>
      <c r="I470" s="53">
        <f>SUM(I468:I469)</f>
        <v>0</v>
      </c>
      <c r="J470" s="53">
        <f>SUM(J468:J469)</f>
        <v>15157.32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3686363.72</v>
      </c>
      <c r="G472" s="18">
        <f>L362</f>
        <v>97380.580000000016</v>
      </c>
      <c r="H472" s="18">
        <f>L352</f>
        <v>74600.36</v>
      </c>
      <c r="I472" s="18"/>
      <c r="J472" s="18">
        <f>L434</f>
        <v>63875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3686363.72</v>
      </c>
      <c r="G474" s="53">
        <f>SUM(G472:G473)</f>
        <v>97380.580000000016</v>
      </c>
      <c r="H474" s="53">
        <f>SUM(H472:H473)</f>
        <v>74600.36</v>
      </c>
      <c r="I474" s="53">
        <f>SUM(I472:I473)</f>
        <v>0</v>
      </c>
      <c r="J474" s="53">
        <f>SUM(J472:J473)</f>
        <v>63875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133876.29000000004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235271.07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10</v>
      </c>
      <c r="G490" s="154">
        <v>5</v>
      </c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913</v>
      </c>
      <c r="G491" s="155" t="s">
        <v>914</v>
      </c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915</v>
      </c>
      <c r="G492" s="155" t="s">
        <v>916</v>
      </c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440000</v>
      </c>
      <c r="G493" s="18">
        <v>412000</v>
      </c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4.28</v>
      </c>
      <c r="G494" s="18">
        <v>2.1800000000000002</v>
      </c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80000</v>
      </c>
      <c r="G495" s="18">
        <v>412000</v>
      </c>
      <c r="H495" s="18"/>
      <c r="I495" s="18"/>
      <c r="J495" s="18"/>
      <c r="K495" s="53">
        <f>SUM(F495:J495)</f>
        <v>492000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>
        <v>0</v>
      </c>
      <c r="G496" s="18">
        <v>0</v>
      </c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40000</v>
      </c>
      <c r="G497" s="18">
        <v>85000</v>
      </c>
      <c r="H497" s="18"/>
      <c r="I497" s="18"/>
      <c r="J497" s="18"/>
      <c r="K497" s="53">
        <f t="shared" si="35"/>
        <v>125000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40000</v>
      </c>
      <c r="G498" s="204">
        <v>327000</v>
      </c>
      <c r="H498" s="204"/>
      <c r="I498" s="204"/>
      <c r="J498" s="204"/>
      <c r="K498" s="205">
        <f t="shared" si="35"/>
        <v>367000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1000</v>
      </c>
      <c r="G499" s="18">
        <v>26465.5</v>
      </c>
      <c r="H499" s="18"/>
      <c r="I499" s="18"/>
      <c r="J499" s="18"/>
      <c r="K499" s="53">
        <f t="shared" si="35"/>
        <v>27465.5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41000</v>
      </c>
      <c r="G500" s="42">
        <f>SUM(G498:G499)</f>
        <v>353465.5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394465.5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40000</v>
      </c>
      <c r="G501" s="204">
        <v>85000</v>
      </c>
      <c r="H501" s="204"/>
      <c r="I501" s="204"/>
      <c r="J501" s="204"/>
      <c r="K501" s="205">
        <f t="shared" si="35"/>
        <v>125000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1000</v>
      </c>
      <c r="G502" s="18">
        <f>6703.5+4961</f>
        <v>11664.5</v>
      </c>
      <c r="H502" s="18"/>
      <c r="I502" s="18"/>
      <c r="J502" s="18"/>
      <c r="K502" s="53">
        <f t="shared" si="35"/>
        <v>12664.5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41000</v>
      </c>
      <c r="G503" s="42">
        <f>SUM(G501:G502)</f>
        <v>96664.5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137664.5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38485.6+40548.98+33309.56+30166.91</f>
        <v>142511.04999999999</v>
      </c>
      <c r="G521" s="18">
        <f>41580.89+1676.54+202.96+366.96+10281.73+4400.16+403.21</f>
        <v>58912.450000000004</v>
      </c>
      <c r="H521" s="18">
        <f>1388+85995.38+39731.04</f>
        <v>127114.42000000001</v>
      </c>
      <c r="I521" s="18">
        <f>574.53+130.11+2347.03</f>
        <v>3051.67</v>
      </c>
      <c r="J521" s="18">
        <f>1200+1432</f>
        <v>2632</v>
      </c>
      <c r="K521" s="18"/>
      <c r="L521" s="88">
        <f>SUM(F521:K521)</f>
        <v>334221.59000000003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>
        <v>122956.77</v>
      </c>
      <c r="I523" s="18"/>
      <c r="J523" s="18"/>
      <c r="K523" s="18"/>
      <c r="L523" s="88">
        <f>SUM(F523:K523)</f>
        <v>122956.77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142511.04999999999</v>
      </c>
      <c r="G524" s="108">
        <f t="shared" ref="G524:L524" si="36">SUM(G521:G523)</f>
        <v>58912.450000000004</v>
      </c>
      <c r="H524" s="108">
        <f t="shared" si="36"/>
        <v>250071.19</v>
      </c>
      <c r="I524" s="108">
        <f t="shared" si="36"/>
        <v>3051.67</v>
      </c>
      <c r="J524" s="108">
        <f t="shared" si="36"/>
        <v>2632</v>
      </c>
      <c r="K524" s="108">
        <f t="shared" si="36"/>
        <v>0</v>
      </c>
      <c r="L524" s="89">
        <f t="shared" si="36"/>
        <v>457178.36000000004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f>7367.88</f>
        <v>7367.88</v>
      </c>
      <c r="G526" s="18">
        <f>563.68+27.2</f>
        <v>590.88</v>
      </c>
      <c r="H526" s="18">
        <f>56222.88+34252.15</f>
        <v>90475.03</v>
      </c>
      <c r="I526" s="18"/>
      <c r="J526" s="18">
        <f>326.48</f>
        <v>326.48</v>
      </c>
      <c r="K526" s="18"/>
      <c r="L526" s="88">
        <f>SUM(F526:K526)</f>
        <v>98760.26999999999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7367.88</v>
      </c>
      <c r="G529" s="89">
        <f t="shared" ref="G529:L529" si="37">SUM(G526:G528)</f>
        <v>590.88</v>
      </c>
      <c r="H529" s="89">
        <f t="shared" si="37"/>
        <v>90475.03</v>
      </c>
      <c r="I529" s="89">
        <f t="shared" si="37"/>
        <v>0</v>
      </c>
      <c r="J529" s="89">
        <f t="shared" si="37"/>
        <v>326.48</v>
      </c>
      <c r="K529" s="89">
        <f t="shared" si="37"/>
        <v>0</v>
      </c>
      <c r="L529" s="89">
        <f t="shared" si="37"/>
        <v>98760.26999999999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>
        <v>17016</v>
      </c>
      <c r="I531" s="18"/>
      <c r="J531" s="18"/>
      <c r="K531" s="18">
        <v>2809.72</v>
      </c>
      <c r="L531" s="88">
        <f>SUM(F531:K531)</f>
        <v>19825.72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17016</v>
      </c>
      <c r="I534" s="89">
        <f t="shared" si="38"/>
        <v>0</v>
      </c>
      <c r="J534" s="89">
        <f t="shared" si="38"/>
        <v>0</v>
      </c>
      <c r="K534" s="89">
        <f t="shared" si="38"/>
        <v>2809.72</v>
      </c>
      <c r="L534" s="89">
        <f t="shared" si="38"/>
        <v>19825.72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26719</v>
      </c>
      <c r="I541" s="18"/>
      <c r="J541" s="18"/>
      <c r="K541" s="18"/>
      <c r="L541" s="88">
        <f>SUM(F541:K541)</f>
        <v>26719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26719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26719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149878.93</v>
      </c>
      <c r="G545" s="89">
        <f t="shared" ref="G545:L545" si="41">G524+G529+G534+G539+G544</f>
        <v>59503.33</v>
      </c>
      <c r="H545" s="89">
        <f t="shared" si="41"/>
        <v>384281.22</v>
      </c>
      <c r="I545" s="89">
        <f t="shared" si="41"/>
        <v>3051.67</v>
      </c>
      <c r="J545" s="89">
        <f t="shared" si="41"/>
        <v>2958.48</v>
      </c>
      <c r="K545" s="89">
        <f t="shared" si="41"/>
        <v>2809.72</v>
      </c>
      <c r="L545" s="89">
        <f t="shared" si="41"/>
        <v>602483.35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334221.59000000003</v>
      </c>
      <c r="G549" s="87">
        <f>L526</f>
        <v>98760.26999999999</v>
      </c>
      <c r="H549" s="87">
        <f>L531</f>
        <v>19825.72</v>
      </c>
      <c r="I549" s="87">
        <f>L536</f>
        <v>0</v>
      </c>
      <c r="J549" s="87">
        <f>L541</f>
        <v>26719</v>
      </c>
      <c r="K549" s="87">
        <f>SUM(F549:J549)</f>
        <v>479526.57999999996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122956.77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122956.77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457178.36000000004</v>
      </c>
      <c r="G552" s="89">
        <f t="shared" si="42"/>
        <v>98760.26999999999</v>
      </c>
      <c r="H552" s="89">
        <f t="shared" si="42"/>
        <v>19825.72</v>
      </c>
      <c r="I552" s="89">
        <f t="shared" si="42"/>
        <v>0</v>
      </c>
      <c r="J552" s="89">
        <f t="shared" si="42"/>
        <v>26719</v>
      </c>
      <c r="K552" s="89">
        <f t="shared" si="42"/>
        <v>602483.35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>
        <v>907357.46</v>
      </c>
      <c r="I575" s="87">
        <f>SUM(F575:H575)</f>
        <v>907357.46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39731.040000000001</v>
      </c>
      <c r="G579" s="18"/>
      <c r="H579" s="18">
        <v>78390</v>
      </c>
      <c r="I579" s="87">
        <f t="shared" si="47"/>
        <v>118121.04000000001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85995.38</v>
      </c>
      <c r="G582" s="18"/>
      <c r="H582" s="18">
        <v>44566.77</v>
      </c>
      <c r="I582" s="87">
        <f t="shared" si="47"/>
        <v>130562.15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147403.70000000001</v>
      </c>
      <c r="I591" s="18"/>
      <c r="J591" s="18">
        <v>54508.6</v>
      </c>
      <c r="K591" s="104">
        <f t="shared" ref="K591:K597" si="48">SUM(H591:J591)</f>
        <v>201912.30000000002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26719</v>
      </c>
      <c r="I592" s="18"/>
      <c r="J592" s="18"/>
      <c r="K592" s="104">
        <f t="shared" si="48"/>
        <v>26719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3418.75</v>
      </c>
      <c r="I594" s="18"/>
      <c r="J594" s="18"/>
      <c r="K594" s="104">
        <f t="shared" si="48"/>
        <v>3418.75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3468.25</v>
      </c>
      <c r="I595" s="18"/>
      <c r="J595" s="18"/>
      <c r="K595" s="104">
        <f t="shared" si="48"/>
        <v>3468.25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181009.7</v>
      </c>
      <c r="I598" s="108">
        <f>SUM(I591:I597)</f>
        <v>0</v>
      </c>
      <c r="J598" s="108">
        <f>SUM(J591:J597)</f>
        <v>54508.6</v>
      </c>
      <c r="K598" s="108">
        <f>SUM(K591:K597)</f>
        <v>235518.30000000002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f>19588.29+200</f>
        <v>19788.29</v>
      </c>
      <c r="I604" s="18"/>
      <c r="J604" s="18"/>
      <c r="K604" s="104">
        <f>SUM(H604:J604)</f>
        <v>19788.29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19788.29</v>
      </c>
      <c r="I605" s="108">
        <f>SUM(I602:I604)</f>
        <v>0</v>
      </c>
      <c r="J605" s="108">
        <f>SUM(J602:J604)</f>
        <v>0</v>
      </c>
      <c r="K605" s="108">
        <f>SUM(K602:K604)</f>
        <v>19788.29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2000</v>
      </c>
      <c r="G611" s="18">
        <v>274.70999999999998</v>
      </c>
      <c r="H611" s="18"/>
      <c r="I611" s="18"/>
      <c r="J611" s="18"/>
      <c r="K611" s="18"/>
      <c r="L611" s="88">
        <f>SUM(F611:K611)</f>
        <v>2274.71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2000</v>
      </c>
      <c r="G614" s="108">
        <f t="shared" si="49"/>
        <v>274.70999999999998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2274.71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150203.93000000005</v>
      </c>
      <c r="H617" s="109">
        <f>SUM(F52)</f>
        <v>150203.93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2064.73</v>
      </c>
      <c r="H618" s="109">
        <f>SUM(G52)</f>
        <v>2064.73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9856.4699999999993</v>
      </c>
      <c r="H619" s="109">
        <f>SUM(H52)</f>
        <v>9856.4700000000012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235271.06999999998</v>
      </c>
      <c r="H621" s="109">
        <f>SUM(J52)</f>
        <v>235271.06999999998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133876.28999999998</v>
      </c>
      <c r="H622" s="109">
        <f>F476</f>
        <v>133876.29000000004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235271.06999999998</v>
      </c>
      <c r="H626" s="109">
        <f>J476</f>
        <v>235271.07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3669335.6399999997</v>
      </c>
      <c r="H627" s="104">
        <f>SUM(F468)</f>
        <v>3669335.64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96957.549999999988</v>
      </c>
      <c r="H628" s="104">
        <f>SUM(G468)</f>
        <v>96957.55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74600.36</v>
      </c>
      <c r="H629" s="104">
        <f>SUM(H468)</f>
        <v>74600.36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15157.32</v>
      </c>
      <c r="H631" s="104">
        <f>SUM(J468)</f>
        <v>15157.32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3686363.7199999997</v>
      </c>
      <c r="H632" s="104">
        <f>SUM(F472)</f>
        <v>3686363.72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74600.36</v>
      </c>
      <c r="H633" s="104">
        <f>SUM(H472)</f>
        <v>74600.36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39045.14</v>
      </c>
      <c r="H634" s="104">
        <f>I369</f>
        <v>39045.14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97380.580000000016</v>
      </c>
      <c r="H635" s="104">
        <f>SUM(G472)</f>
        <v>97380.580000000016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15157.32</v>
      </c>
      <c r="H637" s="164">
        <f>SUM(J468)</f>
        <v>15157.32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63875</v>
      </c>
      <c r="H638" s="164">
        <f>SUM(J472)</f>
        <v>63875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16976.12</v>
      </c>
      <c r="H639" s="104">
        <f>SUM(F461)</f>
        <v>16976.12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218294.94999999998</v>
      </c>
      <c r="H640" s="104">
        <f>SUM(G461)</f>
        <v>218294.94999999998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235271.06999999998</v>
      </c>
      <c r="H642" s="104">
        <f>SUM(I461)</f>
        <v>235271.06999999998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157.32</v>
      </c>
      <c r="H644" s="104">
        <f>H408</f>
        <v>157.32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15000</v>
      </c>
      <c r="H645" s="104">
        <f>G408</f>
        <v>15000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15157.32</v>
      </c>
      <c r="H646" s="104">
        <f>L408</f>
        <v>15157.32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235518.30000000002</v>
      </c>
      <c r="H647" s="104">
        <f>L208+L226+L244</f>
        <v>235518.30000000002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19788.29</v>
      </c>
      <c r="H648" s="104">
        <f>(J257+J338)-(J255+J336)</f>
        <v>19788.29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181009.7</v>
      </c>
      <c r="H649" s="104">
        <f>H598</f>
        <v>181009.7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54508.6</v>
      </c>
      <c r="H651" s="104">
        <f>J598</f>
        <v>54508.6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46481.74</v>
      </c>
      <c r="H652" s="104">
        <f>K263+K345</f>
        <v>46481.74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15000</v>
      </c>
      <c r="H655" s="104">
        <f>K266+K347</f>
        <v>15000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2505015.59</v>
      </c>
      <c r="G660" s="19">
        <f>(L229+L309+L359)</f>
        <v>0</v>
      </c>
      <c r="H660" s="19">
        <f>(L247+L328+L360)</f>
        <v>1084822.83</v>
      </c>
      <c r="I660" s="19">
        <f>SUM(F660:H660)</f>
        <v>3589838.42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27292.3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27292.3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181009.7</v>
      </c>
      <c r="G662" s="19">
        <f>(L226+L306)-(J226+J306)</f>
        <v>0</v>
      </c>
      <c r="H662" s="19">
        <f>(L244+L325)-(J244+J325)</f>
        <v>54508.6</v>
      </c>
      <c r="I662" s="19">
        <f>SUM(F662:H662)</f>
        <v>235518.30000000002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147789.42000000001</v>
      </c>
      <c r="G663" s="199">
        <f>SUM(G575:G587)+SUM(I602:I604)+L612</f>
        <v>0</v>
      </c>
      <c r="H663" s="199">
        <f>SUM(H575:H587)+SUM(J602:J604)+L613</f>
        <v>1030314.23</v>
      </c>
      <c r="I663" s="19">
        <f>SUM(F663:H663)</f>
        <v>1178103.6499999999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2148924.17</v>
      </c>
      <c r="G664" s="19">
        <f>G660-SUM(G661:G663)</f>
        <v>0</v>
      </c>
      <c r="H664" s="19">
        <f>H660-SUM(H661:H663)</f>
        <v>0</v>
      </c>
      <c r="I664" s="19">
        <f>I660-SUM(I661:I663)</f>
        <v>2148924.17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139.15</v>
      </c>
      <c r="G665" s="248"/>
      <c r="H665" s="248"/>
      <c r="I665" s="19">
        <f>SUM(F665:H665)</f>
        <v>139.15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15443.22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15443.22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15443.22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15443.22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39" sqref="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WESTMORELAND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695811.97</v>
      </c>
      <c r="C9" s="229">
        <f>'DOE25'!G197+'DOE25'!G215+'DOE25'!G233+'DOE25'!G276+'DOE25'!G295+'DOE25'!G314</f>
        <v>310277.68</v>
      </c>
    </row>
    <row r="10" spans="1:3" x14ac:dyDescent="0.2">
      <c r="A10" t="s">
        <v>778</v>
      </c>
      <c r="B10" s="240">
        <v>636374.38</v>
      </c>
      <c r="C10" s="240">
        <v>283773.17</v>
      </c>
    </row>
    <row r="11" spans="1:3" x14ac:dyDescent="0.2">
      <c r="A11" t="s">
        <v>779</v>
      </c>
      <c r="B11" s="240">
        <v>59437.59</v>
      </c>
      <c r="C11" s="240">
        <v>26504.51</v>
      </c>
    </row>
    <row r="12" spans="1:3" x14ac:dyDescent="0.2">
      <c r="A12" t="s">
        <v>780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695811.97</v>
      </c>
      <c r="C13" s="231">
        <f>SUM(C10:C12)</f>
        <v>310277.68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149837.01</v>
      </c>
      <c r="C18" s="229">
        <f>'DOE25'!G198+'DOE25'!G216+'DOE25'!G234+'DOE25'!G277+'DOE25'!G296+'DOE25'!G315</f>
        <v>59497.789999999994</v>
      </c>
    </row>
    <row r="19" spans="1:3" x14ac:dyDescent="0.2">
      <c r="A19" t="s">
        <v>778</v>
      </c>
      <c r="B19" s="240">
        <v>75978.47</v>
      </c>
      <c r="C19" s="240">
        <v>30169.79</v>
      </c>
    </row>
    <row r="20" spans="1:3" x14ac:dyDescent="0.2">
      <c r="A20" t="s">
        <v>779</v>
      </c>
      <c r="B20" s="240">
        <v>73858.539999999994</v>
      </c>
      <c r="C20" s="240">
        <v>29328</v>
      </c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149837.01</v>
      </c>
      <c r="C22" s="231">
        <f>SUM(C19:C21)</f>
        <v>59497.79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13059.96</v>
      </c>
      <c r="C36" s="235">
        <f>'DOE25'!G200+'DOE25'!G218+'DOE25'!G236+'DOE25'!G279+'DOE25'!G298+'DOE25'!G317</f>
        <v>2416.5500000000002</v>
      </c>
    </row>
    <row r="37" spans="1:3" x14ac:dyDescent="0.2">
      <c r="A37" t="s">
        <v>778</v>
      </c>
      <c r="B37" s="240">
        <v>12869.96</v>
      </c>
      <c r="C37" s="240">
        <v>2381.39</v>
      </c>
    </row>
    <row r="38" spans="1:3" x14ac:dyDescent="0.2">
      <c r="A38" t="s">
        <v>779</v>
      </c>
      <c r="B38" s="240">
        <v>190</v>
      </c>
      <c r="C38" s="240">
        <v>35.159999999999997</v>
      </c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13059.96</v>
      </c>
      <c r="C40" s="231">
        <f>SUM(C37:C39)</f>
        <v>2416.5499999999997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A2" sqref="A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WESTMORELAND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2373202.0999999996</v>
      </c>
      <c r="D5" s="20">
        <f>SUM('DOE25'!L197:L200)+SUM('DOE25'!L215:L218)+SUM('DOE25'!L233:L236)-F5-G5</f>
        <v>2366126.4999999995</v>
      </c>
      <c r="E5" s="243"/>
      <c r="F5" s="255">
        <f>SUM('DOE25'!J197:J200)+SUM('DOE25'!J215:J218)+SUM('DOE25'!J233:J236)</f>
        <v>4867.6000000000004</v>
      </c>
      <c r="G5" s="53">
        <f>SUM('DOE25'!K197:K200)+SUM('DOE25'!K215:K218)+SUM('DOE25'!K233:K236)</f>
        <v>2208</v>
      </c>
      <c r="H5" s="259"/>
    </row>
    <row r="6" spans="1:9" x14ac:dyDescent="0.2">
      <c r="A6" s="32">
        <v>2100</v>
      </c>
      <c r="B6" t="s">
        <v>800</v>
      </c>
      <c r="C6" s="245">
        <f t="shared" si="0"/>
        <v>159107.43</v>
      </c>
      <c r="D6" s="20">
        <f>'DOE25'!L202+'DOE25'!L220+'DOE25'!L238-F6-G6</f>
        <v>159107.43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89081.439999999988</v>
      </c>
      <c r="D7" s="20">
        <f>'DOE25'!L203+'DOE25'!L221+'DOE25'!L239-F7-G7</f>
        <v>89081.439999999988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139973.99999999997</v>
      </c>
      <c r="D8" s="243"/>
      <c r="E8" s="20">
        <f>'DOE25'!L204+'DOE25'!L222+'DOE25'!L240-F8-G8-D9-D11</f>
        <v>138535.94999999998</v>
      </c>
      <c r="F8" s="255">
        <f>'DOE25'!J204+'DOE25'!J222+'DOE25'!J240</f>
        <v>1438.05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817</v>
      </c>
      <c r="C9" s="245">
        <f t="shared" si="0"/>
        <v>12680.29</v>
      </c>
      <c r="D9" s="244">
        <v>12680.29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6950</v>
      </c>
      <c r="D10" s="243"/>
      <c r="E10" s="244">
        <v>6950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25528</v>
      </c>
      <c r="D11" s="244">
        <v>25528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190724.34999999998</v>
      </c>
      <c r="D12" s="20">
        <f>'DOE25'!L205+'DOE25'!L223+'DOE25'!L241-F12-G12</f>
        <v>190724.34999999998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190772.82</v>
      </c>
      <c r="D14" s="20">
        <f>'DOE25'!L207+'DOE25'!L225+'DOE25'!L243-F14-G14</f>
        <v>190772.82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235518.30000000002</v>
      </c>
      <c r="D15" s="20">
        <f>'DOE25'!L208+'DOE25'!L226+'DOE25'!L244-F15-G15</f>
        <v>235518.30000000002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1268.75</v>
      </c>
      <c r="D16" s="243"/>
      <c r="E16" s="20">
        <f>'DOE25'!L209+'DOE25'!L227+'DOE25'!L245-F16-G16</f>
        <v>1268.75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63875</v>
      </c>
      <c r="D22" s="243"/>
      <c r="E22" s="243"/>
      <c r="F22" s="255">
        <f>'DOE25'!L255+'DOE25'!L336</f>
        <v>63875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143149.5</v>
      </c>
      <c r="D25" s="243"/>
      <c r="E25" s="243"/>
      <c r="F25" s="258"/>
      <c r="G25" s="256"/>
      <c r="H25" s="257">
        <f>'DOE25'!L260+'DOE25'!L261+'DOE25'!L341+'DOE25'!L342</f>
        <v>143149.5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65789.210000000021</v>
      </c>
      <c r="D29" s="20">
        <f>'DOE25'!L358+'DOE25'!L359+'DOE25'!L360-'DOE25'!I367-F29-G29</f>
        <v>65989.210000000021</v>
      </c>
      <c r="E29" s="243"/>
      <c r="F29" s="255">
        <f>'DOE25'!J358+'DOE25'!J359+'DOE25'!J360</f>
        <v>-200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74600.36</v>
      </c>
      <c r="D31" s="20">
        <f>'DOE25'!L290+'DOE25'!L309+'DOE25'!L328+'DOE25'!L333+'DOE25'!L334+'DOE25'!L335-F31-G31</f>
        <v>56109.18</v>
      </c>
      <c r="E31" s="243"/>
      <c r="F31" s="255">
        <f>'DOE25'!J290+'DOE25'!J309+'DOE25'!J328+'DOE25'!J333+'DOE25'!J334+'DOE25'!J335</f>
        <v>13482.64</v>
      </c>
      <c r="G31" s="53">
        <f>'DOE25'!K290+'DOE25'!K309+'DOE25'!K328+'DOE25'!K333+'DOE25'!K334+'DOE25'!K335</f>
        <v>5008.54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3391637.5199999996</v>
      </c>
      <c r="E33" s="246">
        <f>SUM(E5:E31)</f>
        <v>146754.69999999998</v>
      </c>
      <c r="F33" s="246">
        <f>SUM(F5:F31)</f>
        <v>83463.289999999994</v>
      </c>
      <c r="G33" s="246">
        <f>SUM(G5:G31)</f>
        <v>7216.54</v>
      </c>
      <c r="H33" s="246">
        <f>SUM(H5:H31)</f>
        <v>143149.5</v>
      </c>
    </row>
    <row r="35" spans="2:8" ht="12" thickBot="1" x14ac:dyDescent="0.25">
      <c r="B35" s="253" t="s">
        <v>846</v>
      </c>
      <c r="D35" s="254">
        <f>E33</f>
        <v>146754.69999999998</v>
      </c>
      <c r="E35" s="249"/>
    </row>
    <row r="36" spans="2:8" ht="12" thickTop="1" x14ac:dyDescent="0.2">
      <c r="B36" t="s">
        <v>814</v>
      </c>
      <c r="D36" s="20">
        <f>D33</f>
        <v>3391637.5199999996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WESTMORELAND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131743.71000000002</v>
      </c>
      <c r="D8" s="95">
        <f>'DOE25'!G9</f>
        <v>1773.53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4017.82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235271.06999999998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9744.89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4697.51</v>
      </c>
      <c r="D12" s="95">
        <f>'DOE25'!G13</f>
        <v>291.2</v>
      </c>
      <c r="E12" s="95">
        <f>'DOE25'!H13</f>
        <v>9856.4699999999993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150203.93000000005</v>
      </c>
      <c r="D18" s="41">
        <f>SUM(D8:D17)</f>
        <v>2064.73</v>
      </c>
      <c r="E18" s="41">
        <f>SUM(E8:E17)</f>
        <v>9856.4699999999993</v>
      </c>
      <c r="F18" s="41">
        <f>SUM(F8:F17)</f>
        <v>0</v>
      </c>
      <c r="G18" s="41">
        <f>SUM(G8:G17)</f>
        <v>235271.06999999998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1025.8800000000001</v>
      </c>
      <c r="E21" s="95">
        <f>'DOE25'!H22</f>
        <v>8719.01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1200.7</v>
      </c>
      <c r="D22" s="95">
        <f>'DOE25'!G23</f>
        <v>0</v>
      </c>
      <c r="E22" s="95">
        <f>'DOE25'!H23</f>
        <v>1137.46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12850.25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2276.69</v>
      </c>
      <c r="D27" s="95">
        <f>'DOE25'!G28</f>
        <v>126.75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912.1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16327.640000000001</v>
      </c>
      <c r="D31" s="41">
        <f>SUM(D21:D30)</f>
        <v>2064.73</v>
      </c>
      <c r="E31" s="41">
        <f>SUM(E21:E30)</f>
        <v>9856.4700000000012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28900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235271.06999999998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104976.29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133876.28999999998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235271.06999999998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150203.93</v>
      </c>
      <c r="D51" s="41">
        <f>D50+D31</f>
        <v>2064.73</v>
      </c>
      <c r="E51" s="41">
        <f>E50+E31</f>
        <v>9856.4700000000012</v>
      </c>
      <c r="F51" s="41">
        <f>F50+F31</f>
        <v>0</v>
      </c>
      <c r="G51" s="41">
        <f>G50+G31</f>
        <v>235271.06999999998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2452824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300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1252.5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1228.02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157.32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27292.3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6130.33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8910.85</v>
      </c>
      <c r="D62" s="130">
        <f>SUM(D57:D61)</f>
        <v>27292.3</v>
      </c>
      <c r="E62" s="130">
        <f>SUM(E57:E61)</f>
        <v>0</v>
      </c>
      <c r="F62" s="130">
        <f>SUM(F57:F61)</f>
        <v>0</v>
      </c>
      <c r="G62" s="130">
        <f>SUM(G57:G61)</f>
        <v>157.32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2461734.85</v>
      </c>
      <c r="D63" s="22">
        <f>D56+D62</f>
        <v>27292.3</v>
      </c>
      <c r="E63" s="22">
        <f>E56+E62</f>
        <v>0</v>
      </c>
      <c r="F63" s="22">
        <f>F56+F62</f>
        <v>0</v>
      </c>
      <c r="G63" s="22">
        <f>G56+G62</f>
        <v>157.32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694350.82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388481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1082831.8199999998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12150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23593.51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35743.509999999995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1118575.3299999998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12208.31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25150.46</v>
      </c>
      <c r="D88" s="95">
        <f>SUM('DOE25'!G153:G161)</f>
        <v>23183.51</v>
      </c>
      <c r="E88" s="95">
        <f>SUM('DOE25'!H153:H161)</f>
        <v>62392.05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25150.46</v>
      </c>
      <c r="D91" s="131">
        <f>SUM(D85:D90)</f>
        <v>23183.51</v>
      </c>
      <c r="E91" s="131">
        <f>SUM(E85:E90)</f>
        <v>74600.36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46481.74</v>
      </c>
      <c r="E96" s="95">
        <f>'DOE25'!H179</f>
        <v>0</v>
      </c>
      <c r="F96" s="95">
        <f>'DOE25'!I179</f>
        <v>0</v>
      </c>
      <c r="G96" s="95">
        <f>'DOE25'!J179</f>
        <v>15000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63875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63875</v>
      </c>
      <c r="D103" s="86">
        <f>SUM(D93:D102)</f>
        <v>46481.74</v>
      </c>
      <c r="E103" s="86">
        <f>SUM(E93:E102)</f>
        <v>0</v>
      </c>
      <c r="F103" s="86">
        <f>SUM(F93:F102)</f>
        <v>0</v>
      </c>
      <c r="G103" s="86">
        <f>SUM(G93:G102)</f>
        <v>15000</v>
      </c>
    </row>
    <row r="104" spans="1:7" ht="12.75" thickTop="1" thickBot="1" x14ac:dyDescent="0.25">
      <c r="A104" s="33" t="s">
        <v>764</v>
      </c>
      <c r="C104" s="86">
        <f>C63+C81+C91+C103</f>
        <v>3669335.6399999997</v>
      </c>
      <c r="D104" s="86">
        <f>D63+D81+D91+D103</f>
        <v>96957.549999999988</v>
      </c>
      <c r="E104" s="86">
        <f>E63+E81+E91+E103</f>
        <v>74600.36</v>
      </c>
      <c r="F104" s="86">
        <f>F63+F81+F91+F103</f>
        <v>0</v>
      </c>
      <c r="G104" s="86">
        <f>G63+G81+G103</f>
        <v>15157.32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1917477.75</v>
      </c>
      <c r="D109" s="24" t="s">
        <v>288</v>
      </c>
      <c r="E109" s="95">
        <f>('DOE25'!L276)+('DOE25'!L295)+('DOE25'!L314)</f>
        <v>29321.02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431143.72000000003</v>
      </c>
      <c r="D110" s="24" t="s">
        <v>288</v>
      </c>
      <c r="E110" s="95">
        <f>('DOE25'!L277)+('DOE25'!L296)+('DOE25'!L315)</f>
        <v>33945.94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24580.629999999997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2373202.1</v>
      </c>
      <c r="D115" s="86">
        <f>SUM(D109:D114)</f>
        <v>0</v>
      </c>
      <c r="E115" s="86">
        <f>SUM(E109:E114)</f>
        <v>63266.960000000006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159107.43</v>
      </c>
      <c r="D118" s="24" t="s">
        <v>288</v>
      </c>
      <c r="E118" s="95">
        <f>+('DOE25'!L281)+('DOE25'!L300)+('DOE25'!L319)</f>
        <v>326.48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89081.439999999988</v>
      </c>
      <c r="D119" s="24" t="s">
        <v>288</v>
      </c>
      <c r="E119" s="95">
        <f>+('DOE25'!L282)+('DOE25'!L301)+('DOE25'!L320)</f>
        <v>5998.3799999999992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178182.28999999998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190724.34999999998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5008.54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190772.82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235518.30000000002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1268.75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97380.580000000016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1044655.3800000001</v>
      </c>
      <c r="D128" s="86">
        <f>SUM(D118:D127)</f>
        <v>97380.580000000016</v>
      </c>
      <c r="E128" s="86">
        <f>SUM(E118:E127)</f>
        <v>11333.399999999998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63875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125000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18149.5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46481.74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15033.09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124.23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-157.31999999999971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268506.23999999999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3686363.7200000007</v>
      </c>
      <c r="D145" s="86">
        <f>(D115+D128+D144)</f>
        <v>97380.580000000016</v>
      </c>
      <c r="E145" s="86">
        <f>(E115+E128+E144)</f>
        <v>74600.36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5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08/07</v>
      </c>
      <c r="C152" s="152" t="str">
        <f>'DOE25'!G491</f>
        <v>08/15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08/17</v>
      </c>
      <c r="C153" s="152" t="str">
        <f>'DOE25'!G492</f>
        <v>08/20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440000</v>
      </c>
      <c r="C154" s="137">
        <f>'DOE25'!G493</f>
        <v>412000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4.28</v>
      </c>
      <c r="C155" s="137">
        <f>'DOE25'!G494</f>
        <v>2.1800000000000002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80000</v>
      </c>
      <c r="C156" s="137">
        <f>'DOE25'!G495</f>
        <v>412000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492000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40000</v>
      </c>
      <c r="C158" s="137">
        <f>'DOE25'!G497</f>
        <v>85000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125000</v>
      </c>
    </row>
    <row r="159" spans="1:9" x14ac:dyDescent="0.2">
      <c r="A159" s="22" t="s">
        <v>35</v>
      </c>
      <c r="B159" s="137">
        <f>'DOE25'!F498</f>
        <v>40000</v>
      </c>
      <c r="C159" s="137">
        <f>'DOE25'!G498</f>
        <v>327000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367000</v>
      </c>
    </row>
    <row r="160" spans="1:9" x14ac:dyDescent="0.2">
      <c r="A160" s="22" t="s">
        <v>36</v>
      </c>
      <c r="B160" s="137">
        <f>'DOE25'!F499</f>
        <v>1000</v>
      </c>
      <c r="C160" s="137">
        <f>'DOE25'!G499</f>
        <v>26465.5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27465.5</v>
      </c>
    </row>
    <row r="161" spans="1:7" x14ac:dyDescent="0.2">
      <c r="A161" s="22" t="s">
        <v>37</v>
      </c>
      <c r="B161" s="137">
        <f>'DOE25'!F500</f>
        <v>41000</v>
      </c>
      <c r="C161" s="137">
        <f>'DOE25'!G500</f>
        <v>353465.5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394465.5</v>
      </c>
    </row>
    <row r="162" spans="1:7" x14ac:dyDescent="0.2">
      <c r="A162" s="22" t="s">
        <v>38</v>
      </c>
      <c r="B162" s="137">
        <f>'DOE25'!F501</f>
        <v>40000</v>
      </c>
      <c r="C162" s="137">
        <f>'DOE25'!G501</f>
        <v>85000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125000</v>
      </c>
    </row>
    <row r="163" spans="1:7" x14ac:dyDescent="0.2">
      <c r="A163" s="22" t="s">
        <v>39</v>
      </c>
      <c r="B163" s="137">
        <f>'DOE25'!F502</f>
        <v>1000</v>
      </c>
      <c r="C163" s="137">
        <f>'DOE25'!G502</f>
        <v>11664.5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12664.5</v>
      </c>
    </row>
    <row r="164" spans="1:7" x14ac:dyDescent="0.2">
      <c r="A164" s="22" t="s">
        <v>246</v>
      </c>
      <c r="B164" s="137">
        <f>'DOE25'!F503</f>
        <v>41000</v>
      </c>
      <c r="C164" s="137">
        <f>'DOE25'!G503</f>
        <v>96664.5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137664.5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WESTMORELAND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15443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15443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1946799</v>
      </c>
      <c r="D10" s="182">
        <f>ROUND((C10/$C$28)*100,1)</f>
        <v>54.4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465090</v>
      </c>
      <c r="D11" s="182">
        <f>ROUND((C11/$C$28)*100,1)</f>
        <v>13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24581</v>
      </c>
      <c r="D13" s="182">
        <f>ROUND((C13/$C$28)*100,1)</f>
        <v>0.7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159434</v>
      </c>
      <c r="D15" s="182">
        <f t="shared" ref="D15:D27" si="0">ROUND((C15/$C$28)*100,1)</f>
        <v>4.5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95080</v>
      </c>
      <c r="D16" s="182">
        <f t="shared" si="0"/>
        <v>2.7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179451</v>
      </c>
      <c r="D17" s="182">
        <f t="shared" si="0"/>
        <v>5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190724</v>
      </c>
      <c r="D18" s="182">
        <f t="shared" si="0"/>
        <v>5.3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5009</v>
      </c>
      <c r="D19" s="182">
        <f t="shared" si="0"/>
        <v>0.1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190773</v>
      </c>
      <c r="D20" s="182">
        <f t="shared" si="0"/>
        <v>5.3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235518</v>
      </c>
      <c r="D21" s="182">
        <f t="shared" si="0"/>
        <v>6.6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18150</v>
      </c>
      <c r="D25" s="182">
        <f t="shared" si="0"/>
        <v>0.5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70088.7</v>
      </c>
      <c r="D27" s="182">
        <f t="shared" si="0"/>
        <v>2</v>
      </c>
    </row>
    <row r="28" spans="1:4" x14ac:dyDescent="0.2">
      <c r="B28" s="187" t="s">
        <v>722</v>
      </c>
      <c r="C28" s="180">
        <f>SUM(C10:C27)</f>
        <v>3580697.7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63875</v>
      </c>
    </row>
    <row r="30" spans="1:4" x14ac:dyDescent="0.2">
      <c r="B30" s="187" t="s">
        <v>728</v>
      </c>
      <c r="C30" s="180">
        <f>SUM(C28:C29)</f>
        <v>3644572.7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125000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2452824</v>
      </c>
      <c r="D35" s="182">
        <f t="shared" ref="D35:D40" si="1">ROUND((C35/$C$41)*100,1)</f>
        <v>66.2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9068.1699999999255</v>
      </c>
      <c r="D36" s="182">
        <f t="shared" si="1"/>
        <v>0.2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1082832</v>
      </c>
      <c r="D37" s="182">
        <f t="shared" si="1"/>
        <v>29.2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35744</v>
      </c>
      <c r="D38" s="182">
        <f t="shared" si="1"/>
        <v>1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122934</v>
      </c>
      <c r="D39" s="182">
        <f t="shared" si="1"/>
        <v>3.3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3703402.17</v>
      </c>
      <c r="D41" s="184">
        <f>SUM(D35:D40)</f>
        <v>99.9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WESTMORELAND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2017-06-15T14:49:11Z</cp:lastPrinted>
  <dcterms:created xsi:type="dcterms:W3CDTF">1997-12-04T19:04:30Z</dcterms:created>
  <dcterms:modified xsi:type="dcterms:W3CDTF">2017-11-29T18:08:07Z</dcterms:modified>
</cp:coreProperties>
</file>