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8945" windowHeight="71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68" i="1" l="1"/>
  <c r="G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D12" i="13" s="1"/>
  <c r="C12" i="13" s="1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C12" i="10" s="1"/>
  <c r="L317" i="1"/>
  <c r="L319" i="1"/>
  <c r="C15" i="10" s="1"/>
  <c r="L320" i="1"/>
  <c r="L321" i="1"/>
  <c r="L322" i="1"/>
  <c r="L323" i="1"/>
  <c r="L324" i="1"/>
  <c r="L325" i="1"/>
  <c r="L326" i="1"/>
  <c r="E125" i="2" s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E62" i="2" s="1"/>
  <c r="E63" i="2" s="1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E112" i="2"/>
  <c r="C113" i="2"/>
  <c r="E113" i="2"/>
  <c r="C114" i="2"/>
  <c r="E114" i="2"/>
  <c r="D115" i="2"/>
  <c r="F115" i="2"/>
  <c r="G115" i="2"/>
  <c r="E119" i="2"/>
  <c r="E120" i="2"/>
  <c r="C121" i="2"/>
  <c r="E121" i="2"/>
  <c r="E122" i="2"/>
  <c r="E123" i="2"/>
  <c r="E124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L270" i="1"/>
  <c r="F290" i="1"/>
  <c r="G290" i="1"/>
  <c r="H290" i="1"/>
  <c r="I290" i="1"/>
  <c r="F309" i="1"/>
  <c r="G309" i="1"/>
  <c r="H309" i="1"/>
  <c r="I309" i="1"/>
  <c r="F328" i="1"/>
  <c r="F338" i="1" s="1"/>
  <c r="F352" i="1" s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H460" i="1"/>
  <c r="G461" i="1"/>
  <c r="H461" i="1"/>
  <c r="H641" i="1" s="1"/>
  <c r="G470" i="1"/>
  <c r="H470" i="1"/>
  <c r="I470" i="1"/>
  <c r="J470" i="1"/>
  <c r="G474" i="1"/>
  <c r="G476" i="1" s="1"/>
  <c r="H623" i="1" s="1"/>
  <c r="J623" i="1" s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8" i="1"/>
  <c r="H629" i="1"/>
  <c r="H630" i="1"/>
  <c r="H631" i="1"/>
  <c r="H635" i="1"/>
  <c r="H636" i="1"/>
  <c r="H637" i="1"/>
  <c r="H638" i="1"/>
  <c r="G639" i="1"/>
  <c r="H640" i="1"/>
  <c r="G641" i="1"/>
  <c r="J641" i="1" s="1"/>
  <c r="G643" i="1"/>
  <c r="H643" i="1"/>
  <c r="G644" i="1"/>
  <c r="G649" i="1"/>
  <c r="G650" i="1"/>
  <c r="G652" i="1"/>
  <c r="H652" i="1"/>
  <c r="G653" i="1"/>
  <c r="H653" i="1"/>
  <c r="G654" i="1"/>
  <c r="H654" i="1"/>
  <c r="H655" i="1"/>
  <c r="J655" i="1" s="1"/>
  <c r="L256" i="1"/>
  <c r="G164" i="2"/>
  <c r="C26" i="10"/>
  <c r="L351" i="1"/>
  <c r="D18" i="13"/>
  <c r="C18" i="13" s="1"/>
  <c r="D17" i="13"/>
  <c r="C17" i="13" s="1"/>
  <c r="F78" i="2"/>
  <c r="F81" i="2" s="1"/>
  <c r="D50" i="2"/>
  <c r="F18" i="2"/>
  <c r="G156" i="2"/>
  <c r="E103" i="2"/>
  <c r="D19" i="13"/>
  <c r="C19" i="13" s="1"/>
  <c r="E78" i="2"/>
  <c r="E81" i="2" s="1"/>
  <c r="J257" i="1"/>
  <c r="J271" i="1" s="1"/>
  <c r="J571" i="1"/>
  <c r="L433" i="1"/>
  <c r="D81" i="2"/>
  <c r="I169" i="1"/>
  <c r="H169" i="1"/>
  <c r="G552" i="1"/>
  <c r="J476" i="1"/>
  <c r="H626" i="1" s="1"/>
  <c r="J140" i="1"/>
  <c r="F571" i="1"/>
  <c r="I552" i="1"/>
  <c r="K550" i="1"/>
  <c r="G22" i="2"/>
  <c r="K545" i="1"/>
  <c r="J552" i="1"/>
  <c r="C29" i="10"/>
  <c r="H140" i="1"/>
  <c r="L401" i="1"/>
  <c r="C139" i="2" s="1"/>
  <c r="L393" i="1"/>
  <c r="A13" i="12"/>
  <c r="F22" i="13"/>
  <c r="H25" i="13"/>
  <c r="C25" i="13" s="1"/>
  <c r="H571" i="1"/>
  <c r="H192" i="1"/>
  <c r="C35" i="10"/>
  <c r="L309" i="1"/>
  <c r="I571" i="1"/>
  <c r="J636" i="1"/>
  <c r="G36" i="2"/>
  <c r="L565" i="1"/>
  <c r="C22" i="13"/>
  <c r="C138" i="2"/>
  <c r="H33" i="13"/>
  <c r="F552" i="1" l="1"/>
  <c r="L524" i="1"/>
  <c r="G645" i="1"/>
  <c r="J645" i="1" s="1"/>
  <c r="G62" i="2"/>
  <c r="J644" i="1"/>
  <c r="J640" i="1"/>
  <c r="J639" i="1"/>
  <c r="L419" i="1"/>
  <c r="J643" i="1"/>
  <c r="H545" i="1"/>
  <c r="K551" i="1"/>
  <c r="K549" i="1"/>
  <c r="H552" i="1"/>
  <c r="I545" i="1"/>
  <c r="G545" i="1"/>
  <c r="I257" i="1"/>
  <c r="I271" i="1" s="1"/>
  <c r="J617" i="1"/>
  <c r="C18" i="2"/>
  <c r="C62" i="2"/>
  <c r="C63" i="2" s="1"/>
  <c r="K605" i="1"/>
  <c r="G648" i="1" s="1"/>
  <c r="H338" i="1"/>
  <c r="H352" i="1" s="1"/>
  <c r="E109" i="2"/>
  <c r="E115" i="2" s="1"/>
  <c r="C21" i="10"/>
  <c r="G338" i="1"/>
  <c r="G352" i="1" s="1"/>
  <c r="E118" i="2"/>
  <c r="E128" i="2" s="1"/>
  <c r="L328" i="1"/>
  <c r="L290" i="1"/>
  <c r="J649" i="1"/>
  <c r="K598" i="1"/>
  <c r="G647" i="1" s="1"/>
  <c r="K257" i="1"/>
  <c r="K271" i="1" s="1"/>
  <c r="E13" i="13"/>
  <c r="C13" i="13" s="1"/>
  <c r="G651" i="1"/>
  <c r="J651" i="1" s="1"/>
  <c r="H662" i="1"/>
  <c r="I662" i="1" s="1"/>
  <c r="H257" i="1"/>
  <c r="H271" i="1" s="1"/>
  <c r="G257" i="1"/>
  <c r="G271" i="1" s="1"/>
  <c r="C124" i="2"/>
  <c r="D14" i="13"/>
  <c r="C14" i="13" s="1"/>
  <c r="C120" i="2"/>
  <c r="C119" i="2"/>
  <c r="L247" i="1"/>
  <c r="C13" i="10"/>
  <c r="C111" i="2"/>
  <c r="C11" i="10"/>
  <c r="C10" i="10"/>
  <c r="D6" i="13"/>
  <c r="C6" i="13" s="1"/>
  <c r="C118" i="2"/>
  <c r="C17" i="10"/>
  <c r="D7" i="13"/>
  <c r="C7" i="13" s="1"/>
  <c r="C16" i="10"/>
  <c r="C110" i="2"/>
  <c r="C20" i="10"/>
  <c r="E16" i="13"/>
  <c r="C125" i="2"/>
  <c r="C123" i="2"/>
  <c r="E8" i="13"/>
  <c r="C8" i="13" s="1"/>
  <c r="D15" i="13"/>
  <c r="C15" i="13" s="1"/>
  <c r="H647" i="1"/>
  <c r="J647" i="1" s="1"/>
  <c r="D5" i="13"/>
  <c r="C5" i="13" s="1"/>
  <c r="C112" i="2"/>
  <c r="L211" i="1"/>
  <c r="F192" i="1"/>
  <c r="C91" i="2"/>
  <c r="C78" i="2"/>
  <c r="C81" i="2" s="1"/>
  <c r="D31" i="2"/>
  <c r="D51" i="2" s="1"/>
  <c r="D18" i="2"/>
  <c r="I369" i="1"/>
  <c r="H634" i="1" s="1"/>
  <c r="J634" i="1" s="1"/>
  <c r="F661" i="1"/>
  <c r="D29" i="13"/>
  <c r="C29" i="13" s="1"/>
  <c r="H661" i="1"/>
  <c r="G624" i="1"/>
  <c r="L544" i="1"/>
  <c r="K500" i="1"/>
  <c r="I460" i="1"/>
  <c r="I452" i="1"/>
  <c r="I446" i="1"/>
  <c r="G642" i="1" s="1"/>
  <c r="F271" i="1"/>
  <c r="D145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52" i="1"/>
  <c r="G571" i="1"/>
  <c r="I434" i="1"/>
  <c r="G434" i="1"/>
  <c r="E104" i="2"/>
  <c r="I663" i="1"/>
  <c r="C27" i="10"/>
  <c r="G635" i="1"/>
  <c r="J635" i="1" s="1"/>
  <c r="L545" i="1" l="1"/>
  <c r="H646" i="1"/>
  <c r="K552" i="1"/>
  <c r="J648" i="1"/>
  <c r="H660" i="1"/>
  <c r="H664" i="1" s="1"/>
  <c r="L338" i="1"/>
  <c r="L352" i="1" s="1"/>
  <c r="G633" i="1" s="1"/>
  <c r="E145" i="2"/>
  <c r="D31" i="13"/>
  <c r="C31" i="13" s="1"/>
  <c r="G627" i="1"/>
  <c r="F468" i="1"/>
  <c r="L257" i="1"/>
  <c r="L271" i="1" s="1"/>
  <c r="C128" i="2"/>
  <c r="C115" i="2"/>
  <c r="E33" i="13"/>
  <c r="D35" i="13" s="1"/>
  <c r="C28" i="10"/>
  <c r="D23" i="10" s="1"/>
  <c r="C16" i="13"/>
  <c r="F660" i="1"/>
  <c r="C104" i="2"/>
  <c r="I661" i="1"/>
  <c r="G672" i="1"/>
  <c r="C5" i="10" s="1"/>
  <c r="I461" i="1"/>
  <c r="H642" i="1" s="1"/>
  <c r="J64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32" i="1" l="1"/>
  <c r="F472" i="1"/>
  <c r="H667" i="1"/>
  <c r="H672" i="1"/>
  <c r="C6" i="10" s="1"/>
  <c r="I660" i="1"/>
  <c r="I664" i="1" s="1"/>
  <c r="I672" i="1" s="1"/>
  <c r="C7" i="10" s="1"/>
  <c r="D33" i="13"/>
  <c r="D36" i="13" s="1"/>
  <c r="H474" i="1"/>
  <c r="H476" i="1" s="1"/>
  <c r="H624" i="1" s="1"/>
  <c r="J624" i="1" s="1"/>
  <c r="F470" i="1"/>
  <c r="H627" i="1"/>
  <c r="C145" i="2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64" i="1"/>
  <c r="C41" i="10"/>
  <c r="D38" i="10" s="1"/>
  <c r="F474" i="1" l="1"/>
  <c r="F476" i="1" s="1"/>
  <c r="H622" i="1" s="1"/>
  <c r="J622" i="1" s="1"/>
  <c r="H632" i="1"/>
  <c r="J632" i="1" s="1"/>
  <c r="H633" i="1"/>
  <c r="J633" i="1" s="1"/>
  <c r="J627" i="1"/>
  <c r="I667" i="1"/>
  <c r="D28" i="10"/>
  <c r="F667" i="1"/>
  <c r="F672" i="1"/>
  <c r="C4" i="10" s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<sst xmlns="http://schemas.openxmlformats.org/spreadsheetml/2006/main" count="3962" uniqueCount="913">
  <si>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</si>
  <si>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</si>
  <si>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</si>
  <si>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</si>
  <si>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</si>
  <si>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</si>
  <si>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</si>
  <si>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</si>
  <si>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</si>
  <si>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</si>
  <si>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</si>
  <si>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</si>
  <si>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</si>
  <si>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</si>
  <si>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</si>
  <si>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</si>
  <si>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</si>
  <si>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</si>
  <si>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</si>
  <si>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</si>
  <si>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</si>
  <si>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</si>
  <si>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</si>
  <si>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</si>
  <si>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</si>
  <si>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</si>
  <si>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</si>
  <si>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</si>
  <si>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</si>
  <si>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</si>
  <si>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</si>
  <si>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</si>
  <si>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</si>
  <si>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</si>
  <si>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</si>
  <si>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</si>
  <si>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</si>
  <si>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</si>
  <si>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</si>
  <si>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</si>
  <si>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</si>
  <si>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</si>
  <si>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</si>
  <si>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</si>
  <si>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</si>
  <si>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</si>
  <si>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</si>
  <si>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</si>
  <si>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</si>
  <si>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</si>
  <si>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</si>
  <si>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</si>
  <si>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</si>
  <si>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</si>
  <si>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</si>
  <si>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</si>
  <si>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</si>
  <si>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</si>
  <si>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</si>
  <si>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</si>
  <si>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</si>
  <si>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</si>
  <si>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</si>
  <si>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</si>
  <si>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</si>
  <si>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</si>
  <si>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</si>
  <si>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</si>
  <si>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</si>
  <si>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</si>
  <si>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</si>
  <si>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</si>
  <si>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</si>
  <si>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</si>
  <si>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</si>
  <si>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</si>
  <si>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</si>
  <si>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</si>
  <si>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</si>
  <si>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</si>
  <si>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</si>
  <si>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</si>
  <si>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</si>
  <si>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</si>
  <si>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</si>
  <si>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</si>
  <si>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</si>
  <si>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</si>
  <si>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</si>
  <si>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</si>
  <si>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</si>
  <si>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</si>
  <si>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</si>
  <si>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</si>
  <si>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</si>
  <si>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</si>
  <si>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</si>
  <si>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</si>
  <si>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</si>
  <si>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</si>
  <si>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</si>
  <si>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</si>
  <si>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</si>
  <si>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</si>
  <si>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</si>
  <si>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</si>
  <si>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</si>
  <si>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</si>
  <si>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</si>
  <si>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</si>
  <si>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</si>
  <si>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</si>
  <si>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</si>
  <si>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</si>
  <si>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</si>
  <si>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</si>
  <si>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</si>
  <si>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</si>
  <si>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</si>
  <si>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</si>
  <si>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</si>
  <si>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</si>
  <si>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</si>
  <si>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</si>
  <si>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</si>
  <si>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</si>
  <si>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</si>
  <si>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</si>
  <si>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</si>
  <si>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</si>
  <si>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</si>
  <si>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</si>
  <si>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</si>
  <si>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</si>
  <si>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</si>
  <si>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</si>
  <si>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</si>
  <si>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</si>
  <si>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</si>
  <si>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</si>
  <si>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</si>
  <si>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</si>
  <si>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</si>
  <si>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</si>
  <si>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</si>
  <si>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</si>
  <si>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</si>
  <si>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</si>
  <si>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</si>
  <si>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</si>
  <si>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</si>
  <si>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</si>
  <si>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</si>
  <si>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</si>
  <si>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</si>
  <si>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</si>
  <si>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</si>
  <si>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</si>
  <si>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</si>
  <si>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</si>
  <si>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</si>
  <si>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</si>
  <si>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</si>
  <si>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</si>
  <si>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</si>
  <si>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</si>
  <si>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</si>
  <si>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</si>
  <si>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</si>
  <si>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</si>
  <si>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</si>
  <si>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</si>
  <si>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</si>
  <si>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</si>
  <si>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</si>
  <si>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</si>
  <si>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</si>
  <si>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</si>
  <si>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</si>
  <si>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</si>
  <si>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</si>
  <si>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</si>
  <si>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</si>
  <si>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</si>
  <si>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</si>
  <si>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</si>
  <si>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</si>
  <si>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</si>
  <si>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</si>
  <si>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</si>
  <si>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</si>
  <si>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</si>
  <si>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</si>
  <si>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</si>
  <si>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</si>
  <si>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</si>
  <si>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</si>
  <si>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</si>
  <si>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</si>
  <si>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</si>
  <si>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</si>
  <si>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</si>
  <si>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</si>
  <si>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</si>
  <si>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</si>
  <si>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</si>
  <si>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</si>
  <si>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</si>
  <si>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</si>
  <si>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</si>
  <si>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</si>
  <si>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</si>
  <si>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</si>
  <si>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</si>
  <si>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</si>
  <si>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</si>
  <si>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</si>
  <si>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</si>
  <si>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</si>
  <si>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</si>
  <si>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</si>
  <si>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</si>
  <si>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</si>
  <si>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</si>
  <si>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</si>
  <si>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</si>
  <si>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</si>
  <si>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</si>
  <si>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</si>
  <si>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</si>
  <si>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</si>
  <si>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</si>
  <si>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</si>
  <si>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</si>
  <si>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</si>
  <si>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</si>
  <si>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</si>
  <si>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</si>
  <si>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</si>
  <si>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</si>
  <si>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</si>
  <si>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</si>
  <si>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</si>
  <si>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</si>
  <si>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</si>
  <si>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</si>
  <si>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</si>
  <si>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</si>
  <si>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</si>
  <si>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</si>
  <si>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</si>
  <si>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</si>
  <si>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</si>
  <si>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</si>
  <si>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</si>
  <si>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</si>
  <si>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</si>
  <si>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</si>
  <si>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</si>
  <si>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</si>
  <si>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</si>
  <si>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</si>
  <si>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</si>
  <si>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</si>
  <si>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</si>
  <si>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</si>
  <si>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</si>
  <si>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</si>
  <si>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</si>
  <si>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</si>
  <si>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</si>
  <si>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</si>
  <si>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</si>
  <si>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</si>
  <si>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</si>
  <si>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</si>
  <si>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</si>
  <si>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</si>
  <si>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</si>
  <si>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</si>
  <si>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</si>
  <si>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</si>
  <si>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</si>
  <si>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</si>
  <si>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</si>
  <si>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</si>
  <si>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</si>
  <si>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</si>
  <si>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</si>
  <si>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</si>
  <si>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</si>
  <si>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</si>
  <si>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</si>
  <si>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</si>
  <si>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</si>
  <si>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</si>
  <si>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</si>
  <si>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</si>
  <si>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</si>
  <si>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</si>
  <si>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</si>
  <si>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</si>
  <si>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</si>
  <si>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</si>
  <si>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</si>
  <si>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</si>
  <si>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</si>
  <si>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</si>
  <si>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</si>
  <si>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</si>
  <si>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</si>
  <si>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</si>
  <si>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</si>
  <si>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</si>
  <si>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</si>
  <si>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</si>
  <si>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</si>
  <si>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</si>
  <si>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</si>
  <si>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</si>
  <si>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</si>
  <si>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</si>
  <si>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</si>
  <si>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</si>
  <si>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</si>
  <si>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</si>
  <si>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</si>
  <si>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</si>
  <si>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</si>
  <si>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</si>
  <si>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</si>
  <si>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</si>
  <si>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</si>
  <si>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</si>
  <si>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</si>
  <si>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</si>
  <si>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</si>
  <si>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</si>
  <si>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</si>
  <si>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</si>
  <si>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</si>
  <si>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</si>
  <si>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</si>
  <si>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</si>
  <si>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</si>
  <si>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</si>
  <si>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</si>
  <si>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</si>
  <si>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</si>
  <si>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</si>
  <si>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</si>
  <si>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</si>
  <si>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</si>
  <si>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</si>
  <si>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</si>
  <si>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</si>
  <si>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</si>
  <si>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</si>
  <si>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</si>
  <si>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</si>
  <si>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</si>
  <si>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</si>
  <si>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</si>
  <si>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</si>
  <si>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</si>
  <si>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</si>
  <si>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</si>
  <si>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</si>
  <si>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</si>
  <si>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</si>
  <si>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</si>
  <si>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</si>
  <si>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</si>
  <si>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</si>
  <si>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</si>
  <si>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</si>
  <si>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</si>
  <si>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</si>
  <si>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</si>
  <si>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</si>
  <si>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</si>
  <si>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</si>
  <si>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</si>
  <si>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</si>
  <si>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</si>
  <si>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</si>
  <si>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</si>
  <si>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</si>
  <si>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</si>
  <si>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</si>
  <si>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</si>
  <si>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</si>
  <si>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</si>
  <si>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</si>
  <si>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</si>
  <si>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</si>
  <si>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</si>
  <si>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</si>
  <si>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</si>
  <si>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</si>
  <si>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</si>
  <si>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</si>
  <si>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</si>
  <si>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</si>
  <si>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</si>
  <si>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</si>
  <si>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</si>
  <si>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</si>
  <si>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</si>
  <si>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</si>
  <si>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</si>
  <si>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</si>
  <si>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</si>
  <si>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</si>
  <si>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</si>
  <si>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</si>
  <si>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</si>
  <si>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</si>
  <si>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</si>
  <si>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</si>
  <si>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</si>
  <si>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</si>
  <si>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</si>
  <si>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</si>
  <si>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</si>
  <si>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</si>
  <si>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</si>
  <si>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</si>
  <si>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</si>
  <si>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</si>
  <si>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</si>
  <si>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</si>
  <si>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</si>
  <si>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</si>
  <si>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</si>
  <si>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</si>
  <si>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</si>
  <si>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</si>
  <si>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</si>
  <si>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</si>
  <si>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</si>
  <si>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</si>
  <si>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</si>
  <si>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</si>
  <si>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</si>
  <si>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</si>
  <si>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</si>
  <si>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</si>
  <si>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</si>
  <si>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</si>
  <si>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</si>
  <si>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</si>
  <si>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</si>
  <si>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</si>
  <si>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</si>
  <si>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</si>
  <si>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</si>
  <si>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</si>
  <si>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</si>
  <si>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</si>
  <si>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</si>
  <si>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</si>
  <si>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</si>
  <si>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</si>
  <si>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</si>
  <si>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</si>
  <si>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</si>
  <si>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</si>
  <si>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</si>
  <si>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</si>
  <si>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</si>
  <si>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</si>
  <si>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</si>
  <si>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</si>
  <si>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</si>
  <si>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</si>
  <si>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</si>
  <si>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</si>
  <si>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</si>
  <si>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</si>
  <si>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</si>
  <si>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</si>
  <si>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</si>
  <si>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</si>
  <si>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</si>
  <si>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</si>
  <si>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</si>
  <si>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</si>
  <si>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</si>
  <si>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</si>
  <si>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</si>
  <si>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</si>
  <si>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</si>
  <si>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</si>
  <si>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</si>
  <si>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</si>
  <si>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</si>
  <si>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</si>
  <si>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</si>
  <si>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</si>
  <si>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</si>
  <si>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</si>
  <si>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</si>
  <si>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</si>
  <si>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</si>
  <si>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</si>
  <si>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</si>
  <si>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</si>
  <si>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</si>
  <si>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</si>
  <si>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</si>
  <si>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</si>
  <si>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</si>
  <si>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</si>
  <si>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</si>
  <si>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</si>
  <si>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</si>
  <si>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</si>
  <si>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</si>
  <si>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</si>
  <si>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</si>
  <si>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</si>
  <si>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</si>
  <si>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</si>
  <si>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</si>
  <si>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</si>
  <si>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</si>
  <si>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</si>
  <si>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</si>
  <si>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</si>
  <si>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</si>
  <si>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</si>
  <si>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</si>
  <si>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</si>
  <si>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</si>
  <si>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</si>
  <si>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</si>
  <si>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</si>
  <si>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</si>
  <si>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</si>
  <si>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</si>
  <si>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</si>
  <si>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</si>
  <si>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</si>
  <si>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</si>
  <si>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</si>
  <si>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</si>
  <si>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</si>
  <si>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</si>
  <si>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</si>
  <si>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</si>
  <si>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</si>
  <si>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</si>
  <si>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</si>
  <si>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</si>
  <si>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</si>
  <si>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</si>
  <si>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</si>
  <si>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</si>
  <si>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</si>
  <si>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</si>
  <si>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</si>
  <si>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</si>
  <si>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</si>
  <si>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</si>
  <si>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</si>
  <si>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</si>
  <si>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</si>
  <si>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</si>
  <si>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</si>
  <si>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</si>
  <si>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</si>
  <si>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</si>
  <si>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</si>
  <si>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</si>
  <si>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</si>
  <si>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</si>
  <si>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</si>
  <si>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</si>
  <si>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</si>
  <si>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</si>
  <si>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</si>
  <si>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</si>
  <si>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</si>
  <si>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</si>
  <si>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</si>
  <si>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</si>
  <si>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</si>
  <si>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</si>
  <si>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</si>
  <si>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</si>
  <si>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</si>
  <si>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</si>
  <si>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</si>
  <si>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</si>
  <si>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</si>
  <si>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</si>
  <si>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</si>
  <si>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</si>
  <si>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</si>
  <si>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</si>
  <si>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</si>
  <si>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</si>
  <si>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</si>
  <si>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</si>
  <si>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</si>
  <si>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</si>
  <si>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</si>
  <si>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</si>
  <si>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</si>
  <si>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</si>
  <si>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</si>
  <si>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</si>
  <si>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</si>
  <si>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</si>
  <si>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</si>
  <si>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</si>
  <si>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</si>
  <si>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</si>
  <si>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</si>
  <si>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</si>
  <si>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</si>
  <si>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</si>
  <si>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</si>
  <si>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</si>
  <si>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</si>
  <si>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</si>
  <si>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</si>
  <si>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</si>
  <si>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</si>
  <si>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</si>
  <si>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</si>
  <si>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</si>
  <si>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</si>
  <si>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</si>
  <si>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</si>
  <si>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</si>
  <si>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</si>
  <si>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</si>
  <si>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</si>
  <si>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</si>
  <si>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</si>
  <si>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</si>
  <si>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</si>
  <si>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</si>
  <si>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</si>
  <si>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</si>
  <si>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</si>
  <si>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</si>
  <si>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</si>
  <si>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</si>
  <si>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</si>
  <si>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</si>
  <si>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</si>
  <si>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</si>
  <si>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</si>
  <si>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</si>
  <si>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</si>
  <si>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</si>
  <si>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</si>
  <si>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</si>
  <si>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</si>
  <si>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</si>
  <si>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</si>
  <si>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</si>
  <si>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</si>
  <si>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</si>
  <si>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</si>
  <si>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</si>
  <si>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</si>
  <si>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</si>
  <si>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</si>
  <si>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</si>
  <si>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</si>
  <si>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</si>
  <si>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</si>
  <si>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</si>
  <si>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</si>
  <si>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</si>
  <si>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</si>
  <si>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</si>
  <si>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</si>
  <si>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</si>
  <si>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</si>
  <si>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</si>
  <si>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</si>
  <si>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</si>
  <si>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</si>
  <si>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</si>
  <si>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</si>
  <si>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</si>
  <si>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</si>
  <si>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</si>
  <si>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</si>
  <si>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</si>
  <si>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</si>
  <si>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</si>
  <si>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</si>
  <si>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</si>
  <si>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</si>
  <si>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</si>
  <si>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</si>
  <si>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</si>
  <si>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</si>
  <si>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</si>
  <si>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</si>
  <si>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</si>
  <si>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</si>
  <si>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</si>
  <si>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</si>
  <si>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</si>
  <si>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</si>
  <si>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</si>
  <si>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</si>
  <si>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</si>
  <si>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</si>
  <si>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</si>
  <si>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</si>
  <si>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</si>
  <si>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</si>
  <si>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</si>
  <si>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</si>
  <si>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</si>
  <si>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</si>
  <si>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</si>
  <si>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</si>
  <si>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</si>
  <si>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</si>
  <si>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</si>
  <si>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</si>
  <si>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</si>
  <si>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</si>
  <si>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</si>
  <si>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</si>
  <si>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</si>
  <si>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</si>
  <si>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</si>
  <si>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</si>
  <si>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</si>
  <si>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</si>
  <si>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</si>
  <si>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</si>
  <si>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</si>
  <si>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</si>
  <si>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</si>
  <si>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</si>
  <si>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</si>
  <si>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</si>
  <si>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</si>
  <si>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</si>
  <si>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</si>
  <si>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</si>
  <si>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</si>
  <si>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</si>
  <si>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</si>
  <si>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</si>
  <si>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</si>
  <si>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</si>
  <si>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</si>
  <si>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</si>
  <si>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</si>
  <si>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</si>
  <si>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</si>
  <si>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</si>
  <si>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</si>
  <si>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</si>
  <si>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</si>
  <si>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</si>
  <si>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</si>
  <si>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</si>
  <si>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</si>
  <si>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</si>
  <si>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</si>
  <si>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</si>
  <si>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</si>
  <si>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</si>
  <si>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</si>
  <si>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</si>
  <si>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</si>
  <si>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</si>
  <si>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</si>
  <si>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</si>
  <si>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</si>
  <si>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</si>
  <si>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</si>
  <si>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</si>
  <si>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</si>
  <si>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</si>
  <si>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</si>
  <si>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</si>
  <si>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</si>
  <si>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</si>
  <si>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</si>
  <si>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</si>
  <si>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</si>
  <si>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</si>
  <si>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</si>
  <si>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</si>
  <si>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</si>
  <si>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</si>
  <si>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</si>
  <si>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</si>
  <si>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</si>
  <si>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</si>
  <si>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</si>
  <si>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</si>
  <si>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</si>
  <si>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</si>
  <si>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</si>
  <si>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</si>
  <si>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</si>
  <si>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</si>
  <si>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</si>
  <si>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</si>
  <si>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</si>
  <si>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</si>
  <si>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</si>
  <si>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</si>
  <si>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</si>
  <si>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</si>
  <si>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</si>
  <si>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</si>
  <si>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</si>
  <si>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</si>
  <si>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</si>
  <si>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</si>
  <si>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</si>
  <si>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</si>
  <si>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</si>
  <si>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</si>
  <si>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</si>
  <si>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</si>
  <si>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</si>
  <si>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</si>
  <si>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</si>
  <si>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</si>
  <si>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</si>
  <si>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</si>
  <si>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</si>
  <si>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</si>
  <si>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</si>
  <si>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</si>
  <si>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</si>
  <si>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</si>
  <si>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</si>
  <si>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</si>
  <si>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</si>
  <si>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</si>
  <si>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</si>
  <si>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</si>
  <si>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</si>
  <si>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</si>
  <si>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</si>
  <si>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</si>
  <si>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</si>
  <si>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</si>
  <si>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</si>
  <si>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</si>
  <si>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</si>
  <si>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</si>
  <si>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</si>
  <si>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</si>
  <si>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</si>
  <si>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</si>
  <si>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</si>
  <si>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</si>
  <si>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</si>
  <si>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</si>
  <si>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</si>
  <si>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</si>
  <si>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</si>
  <si>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</si>
  <si>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</si>
  <si>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</si>
  <si>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</si>
  <si>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</si>
  <si>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</si>
  <si>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</si>
  <si>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</si>
  <si>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</si>
  <si>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</si>
  <si>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</si>
  <si>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</si>
  <si>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</si>
  <si>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</si>
  <si>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</si>
  <si>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</si>
  <si>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</si>
  <si>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</si>
  <si>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</si>
  <si>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</si>
  <si>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</si>
  <si>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</si>
  <si>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</si>
  <si>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</si>
  <si>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</si>
  <si>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</si>
  <si>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</si>
  <si>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</si>
  <si>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</si>
  <si>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</si>
  <si>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</si>
  <si>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</si>
  <si>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</si>
  <si>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</si>
  <si>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</si>
  <si>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</si>
  <si>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</si>
  <si>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</si>
  <si>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</si>
  <si>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</si>
  <si>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</si>
  <si>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White Mountains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</si>
</sst>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568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1280852.79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160.49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107931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156873.01999999999</v>
      </c>
      <c r="G13" s="18">
        <v>19377.849999999999</v>
      </c>
      <c r="H13" s="18">
        <v>391115.29</v>
      </c>
      <c r="I13" s="18"/>
      <c r="J13" s="67">
        <f>SUM(I442)</f>
        <v>1099729.26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7880.09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2425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1556122.3900000001</v>
      </c>
      <c r="G19" s="41">
        <f>SUM(G9:G18)</f>
        <v>19377.849999999999</v>
      </c>
      <c r="H19" s="41">
        <f>SUM(H9:H18)</f>
        <v>391115.29</v>
      </c>
      <c r="I19" s="41">
        <f>SUM(I9:I18)</f>
        <v>0</v>
      </c>
      <c r="J19" s="41">
        <f>SUM(J9:J18)</f>
        <v>1099729.26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-274604.95</v>
      </c>
      <c r="G22" s="18">
        <v>19377.849999999999</v>
      </c>
      <c r="H22" s="18">
        <v>255227.1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22729.98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1184886.1000000001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114706.25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933011.13000000012</v>
      </c>
      <c r="G32" s="41">
        <f>SUM(G22:G31)</f>
        <v>19377.849999999999</v>
      </c>
      <c r="H32" s="41">
        <f>SUM(H22:H31)</f>
        <v>369933.35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435000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21181.94</v>
      </c>
      <c r="I48" s="18"/>
      <c r="J48" s="13">
        <f>SUM(I459)</f>
        <v>1099729.26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161349.82999999999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26761.43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623111.26</v>
      </c>
      <c r="G51" s="41">
        <f>SUM(G35:G50)</f>
        <v>0</v>
      </c>
      <c r="H51" s="41">
        <f>SUM(H35:H50)</f>
        <v>21181.94</v>
      </c>
      <c r="I51" s="41">
        <f>SUM(I35:I50)</f>
        <v>0</v>
      </c>
      <c r="J51" s="41">
        <f>SUM(J35:J50)</f>
        <v>1099729.26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1556122.3900000001</v>
      </c>
      <c r="G52" s="41">
        <f>G51+G32</f>
        <v>19377.849999999999</v>
      </c>
      <c r="H52" s="41">
        <f>H51+H32</f>
        <v>391115.29</v>
      </c>
      <c r="I52" s="41">
        <f>I51+I32</f>
        <v>0</v>
      </c>
      <c r="J52" s="41">
        <f>J51+J32</f>
        <v>1099729.26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9269951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9269951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24367.61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71443.56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526048.42000000004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18057.060000000001</v>
      </c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639916.65000000014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3846.29</v>
      </c>
      <c r="G96" s="18"/>
      <c r="H96" s="18"/>
      <c r="I96" s="18"/>
      <c r="J96" s="18">
        <v>11780.03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175115.09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2863</v>
      </c>
      <c r="G98" s="24" t="s">
        <v>288</v>
      </c>
      <c r="H98" s="18">
        <v>18783.400000000001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1505.9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8764.2800000000007</v>
      </c>
      <c r="G110" s="18">
        <v>282</v>
      </c>
      <c r="H110" s="18">
        <v>43426.41</v>
      </c>
      <c r="I110" s="18"/>
      <c r="J110" s="18">
        <v>13292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16979.47</v>
      </c>
      <c r="G111" s="41">
        <f>SUM(G96:G110)</f>
        <v>175397.09</v>
      </c>
      <c r="H111" s="41">
        <f>SUM(H96:H110)</f>
        <v>62209.810000000005</v>
      </c>
      <c r="I111" s="41">
        <f>SUM(I96:I110)</f>
        <v>0</v>
      </c>
      <c r="J111" s="41">
        <f>SUM(J96:J110)</f>
        <v>25072.03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9926847.120000001</v>
      </c>
      <c r="G112" s="41">
        <f>G60+G111</f>
        <v>175397.09</v>
      </c>
      <c r="H112" s="41">
        <f>H60+H79+H94+H111</f>
        <v>62209.810000000005</v>
      </c>
      <c r="I112" s="41">
        <f>I60+I111</f>
        <v>0</v>
      </c>
      <c r="J112" s="41">
        <f>J60+J111</f>
        <v>25072.03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6466713.2400000002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2153743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3640.13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8624096.370000001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121336.59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13008.8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7242.41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134345.38999999998</v>
      </c>
      <c r="G136" s="41">
        <f>SUM(G123:G135)</f>
        <v>7242.41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8758441.7600000016</v>
      </c>
      <c r="G140" s="41">
        <f>G121+SUM(G136:G137)</f>
        <v>7242.41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>
        <v>15147.47</v>
      </c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>
        <v>1459.02</v>
      </c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635979.56000000006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20704.28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82276.33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313005.53000000003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337880.18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78459.41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52254.28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78459.41</v>
      </c>
      <c r="G162" s="41">
        <f>SUM(G150:G161)</f>
        <v>313005.53000000003</v>
      </c>
      <c r="H162" s="41">
        <f>SUM(H150:H161)</f>
        <v>1145701.1200000001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16379.49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94838.900000000009</v>
      </c>
      <c r="G169" s="41">
        <f>G147+G162+SUM(G163:G168)</f>
        <v>313005.53000000003</v>
      </c>
      <c r="H169" s="41">
        <f>H147+H162+SUM(H163:H168)</f>
        <v>1145701.1200000001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54714</v>
      </c>
      <c r="H179" s="18"/>
      <c r="I179" s="18"/>
      <c r="J179" s="18">
        <v>207729.98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60874.84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60874.84</v>
      </c>
      <c r="G183" s="41">
        <f>SUM(G179:G182)</f>
        <v>54714</v>
      </c>
      <c r="H183" s="41">
        <f>SUM(H179:H182)</f>
        <v>0</v>
      </c>
      <c r="I183" s="41">
        <f>SUM(I179:I182)</f>
        <v>0</v>
      </c>
      <c r="J183" s="41">
        <f>SUM(J179:J182)</f>
        <v>207729.98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60874.84</v>
      </c>
      <c r="G192" s="41">
        <f>G183+SUM(G188:G191)</f>
        <v>54714</v>
      </c>
      <c r="H192" s="41">
        <f>+H183+SUM(H188:H191)</f>
        <v>0</v>
      </c>
      <c r="I192" s="41">
        <f>I177+I183+SUM(I188:I191)</f>
        <v>0</v>
      </c>
      <c r="J192" s="41">
        <f>J183</f>
        <v>207729.98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18841002.620000001</v>
      </c>
      <c r="G193" s="47">
        <f>G112+G140+G169+G192</f>
        <v>550359.03</v>
      </c>
      <c r="H193" s="47">
        <f>H112+H140+H169+H192</f>
        <v>1207910.9300000002</v>
      </c>
      <c r="I193" s="47">
        <f>I112+I140+I169+I192</f>
        <v>0</v>
      </c>
      <c r="J193" s="47">
        <f>J112+J140+J192</f>
        <v>232802.01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3041152.5</v>
      </c>
      <c r="G197" s="18">
        <v>1717423.73</v>
      </c>
      <c r="H197" s="18">
        <v>117286.87</v>
      </c>
      <c r="I197" s="18">
        <v>130651.53</v>
      </c>
      <c r="J197" s="18">
        <v>47742.61</v>
      </c>
      <c r="K197" s="18">
        <v>42977.78</v>
      </c>
      <c r="L197" s="19">
        <f>SUM(F197:K197)</f>
        <v>5097235.0200000014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792082.31</v>
      </c>
      <c r="G198" s="18">
        <v>579012.16</v>
      </c>
      <c r="H198" s="18">
        <v>205512.31</v>
      </c>
      <c r="I198" s="18">
        <v>2482.08</v>
      </c>
      <c r="J198" s="18"/>
      <c r="K198" s="18"/>
      <c r="L198" s="19">
        <f>SUM(F198:K198)</f>
        <v>1579088.8600000003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 t="s">
        <v>286</v>
      </c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66535.55</v>
      </c>
      <c r="G200" s="18">
        <v>12398.08</v>
      </c>
      <c r="H200" s="18">
        <v>12853.63</v>
      </c>
      <c r="I200" s="18">
        <v>9028.49</v>
      </c>
      <c r="J200" s="18">
        <v>4010.81</v>
      </c>
      <c r="K200" s="18">
        <v>3896.3</v>
      </c>
      <c r="L200" s="19">
        <f>SUM(F200:K200)</f>
        <v>108722.86000000002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549448.97</v>
      </c>
      <c r="G202" s="18">
        <v>283043.68</v>
      </c>
      <c r="H202" s="18">
        <v>3183.55</v>
      </c>
      <c r="I202" s="18">
        <v>10168.540000000001</v>
      </c>
      <c r="J202" s="18">
        <v>673.25</v>
      </c>
      <c r="K202" s="18">
        <v>358</v>
      </c>
      <c r="L202" s="19">
        <f t="shared" ref="L202:L208" si="0">SUM(F202:K202)</f>
        <v>846875.99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178300.53</v>
      </c>
      <c r="G203" s="18">
        <v>109368.9</v>
      </c>
      <c r="H203" s="18">
        <v>34144.81</v>
      </c>
      <c r="I203" s="18">
        <v>18131.11</v>
      </c>
      <c r="J203" s="18">
        <v>6237.04</v>
      </c>
      <c r="K203" s="18">
        <v>4292.09</v>
      </c>
      <c r="L203" s="19">
        <f t="shared" si="0"/>
        <v>350474.48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392118.43</v>
      </c>
      <c r="G204" s="18">
        <v>172022.87</v>
      </c>
      <c r="H204" s="18">
        <v>113047.61</v>
      </c>
      <c r="I204" s="18">
        <v>203680.23</v>
      </c>
      <c r="J204" s="18">
        <v>15512.18</v>
      </c>
      <c r="K204" s="18">
        <v>47264.81</v>
      </c>
      <c r="L204" s="19">
        <f t="shared" si="0"/>
        <v>943646.13000000012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572458.93999999994</v>
      </c>
      <c r="G205" s="18">
        <v>283054.58</v>
      </c>
      <c r="H205" s="18">
        <v>50058.559999999998</v>
      </c>
      <c r="I205" s="18">
        <v>4148.55</v>
      </c>
      <c r="J205" s="18">
        <v>8377.16</v>
      </c>
      <c r="K205" s="18">
        <v>19214.72</v>
      </c>
      <c r="L205" s="19">
        <f t="shared" si="0"/>
        <v>937312.51000000013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106337.04</v>
      </c>
      <c r="G206" s="18">
        <v>54655.99</v>
      </c>
      <c r="H206" s="18">
        <v>2242.7800000000002</v>
      </c>
      <c r="I206" s="18">
        <v>0</v>
      </c>
      <c r="J206" s="18">
        <v>7744</v>
      </c>
      <c r="K206" s="18">
        <v>201</v>
      </c>
      <c r="L206" s="19">
        <f t="shared" si="0"/>
        <v>171180.81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405010.81</v>
      </c>
      <c r="G207" s="18">
        <v>215985.3</v>
      </c>
      <c r="H207" s="18">
        <v>371444.3</v>
      </c>
      <c r="I207" s="18">
        <v>244439.07</v>
      </c>
      <c r="J207" s="18">
        <v>15220.22</v>
      </c>
      <c r="K207" s="18">
        <v>39.950000000000003</v>
      </c>
      <c r="L207" s="19">
        <f t="shared" si="0"/>
        <v>1252139.6499999999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18943.849999999999</v>
      </c>
      <c r="G208" s="18">
        <v>4993.38</v>
      </c>
      <c r="H208" s="18">
        <v>616513.77</v>
      </c>
      <c r="I208" s="18">
        <v>2548.5700000000002</v>
      </c>
      <c r="J208" s="18"/>
      <c r="K208" s="18"/>
      <c r="L208" s="19">
        <f t="shared" si="0"/>
        <v>642999.56999999995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14700</v>
      </c>
      <c r="G209" s="18">
        <v>3369.13</v>
      </c>
      <c r="H209" s="18"/>
      <c r="I209" s="18"/>
      <c r="J209" s="18"/>
      <c r="K209" s="18">
        <v>10540.64</v>
      </c>
      <c r="L209" s="19">
        <f>SUM(F209:K209)</f>
        <v>28609.77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6137088.9299999997</v>
      </c>
      <c r="G211" s="41">
        <f t="shared" si="1"/>
        <v>3435327.8000000003</v>
      </c>
      <c r="H211" s="41">
        <f t="shared" si="1"/>
        <v>1526288.19</v>
      </c>
      <c r="I211" s="41">
        <f t="shared" si="1"/>
        <v>625278.16999999993</v>
      </c>
      <c r="J211" s="41">
        <f t="shared" si="1"/>
        <v>105517.27</v>
      </c>
      <c r="K211" s="41">
        <f t="shared" si="1"/>
        <v>128785.29</v>
      </c>
      <c r="L211" s="41">
        <f t="shared" si="1"/>
        <v>11958285.650000004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1329026.6000000001</v>
      </c>
      <c r="G233" s="18">
        <v>712394.71</v>
      </c>
      <c r="H233" s="18">
        <v>34324.949999999997</v>
      </c>
      <c r="I233" s="18">
        <v>26120.87</v>
      </c>
      <c r="J233" s="18">
        <v>68106.8</v>
      </c>
      <c r="K233" s="18">
        <v>15849.37</v>
      </c>
      <c r="L233" s="19">
        <f>SUM(F233:K233)</f>
        <v>2185823.2999999998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332176.53999999998</v>
      </c>
      <c r="G234" s="18">
        <v>207881.79</v>
      </c>
      <c r="H234" s="18">
        <v>187968.4</v>
      </c>
      <c r="I234" s="18">
        <v>974.56</v>
      </c>
      <c r="J234" s="18">
        <v>191.35</v>
      </c>
      <c r="K234" s="18"/>
      <c r="L234" s="19">
        <f>SUM(F234:K234)</f>
        <v>729192.64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294859</v>
      </c>
      <c r="G235" s="18">
        <v>152617.14000000001</v>
      </c>
      <c r="H235" s="18">
        <v>3574.37</v>
      </c>
      <c r="I235" s="18">
        <v>50273.18</v>
      </c>
      <c r="J235" s="18">
        <v>3399.63</v>
      </c>
      <c r="K235" s="18">
        <v>475</v>
      </c>
      <c r="L235" s="19">
        <f>SUM(F235:K235)</f>
        <v>505198.32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141244</v>
      </c>
      <c r="G236" s="18">
        <v>25868.560000000001</v>
      </c>
      <c r="H236" s="18">
        <v>10898.32</v>
      </c>
      <c r="I236" s="18">
        <v>23071.53</v>
      </c>
      <c r="J236" s="18">
        <v>5453.7</v>
      </c>
      <c r="K236" s="18">
        <v>17284.3</v>
      </c>
      <c r="L236" s="19">
        <f>SUM(F236:K236)</f>
        <v>223820.41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322435.28000000003</v>
      </c>
      <c r="G238" s="18">
        <v>195390.41</v>
      </c>
      <c r="H238" s="18">
        <v>26767.37</v>
      </c>
      <c r="I238" s="18">
        <v>2764.61</v>
      </c>
      <c r="J238" s="18"/>
      <c r="K238" s="18">
        <v>8345</v>
      </c>
      <c r="L238" s="19">
        <f t="shared" ref="L238:L244" si="4">SUM(F238:K238)</f>
        <v>555702.67000000004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45303.78</v>
      </c>
      <c r="G239" s="18">
        <v>24620.98</v>
      </c>
      <c r="H239" s="18">
        <v>20196.27</v>
      </c>
      <c r="I239" s="18">
        <v>9453.89</v>
      </c>
      <c r="J239" s="18"/>
      <c r="K239" s="18">
        <v>8424.4599999999991</v>
      </c>
      <c r="L239" s="19">
        <f t="shared" si="4"/>
        <v>107999.38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297313.88</v>
      </c>
      <c r="G240" s="18">
        <v>138537.07</v>
      </c>
      <c r="H240" s="18">
        <v>108489.15</v>
      </c>
      <c r="I240" s="18">
        <v>18728.2</v>
      </c>
      <c r="J240" s="18">
        <v>842.64</v>
      </c>
      <c r="K240" s="18">
        <v>21336.63</v>
      </c>
      <c r="L240" s="19">
        <f t="shared" si="4"/>
        <v>585247.56999999995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233433.34</v>
      </c>
      <c r="G241" s="18">
        <v>129911.37</v>
      </c>
      <c r="H241" s="18">
        <v>33895.17</v>
      </c>
      <c r="I241" s="18">
        <v>8946.4500000000007</v>
      </c>
      <c r="J241" s="18">
        <v>4417.96</v>
      </c>
      <c r="K241" s="18">
        <v>27165.8</v>
      </c>
      <c r="L241" s="19">
        <f t="shared" si="4"/>
        <v>437770.08999999997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52374.96</v>
      </c>
      <c r="G242" s="18">
        <v>26920.11</v>
      </c>
      <c r="H242" s="18">
        <v>1104.6500000000001</v>
      </c>
      <c r="I242" s="18">
        <v>0</v>
      </c>
      <c r="J242" s="18">
        <v>0</v>
      </c>
      <c r="K242" s="18">
        <v>99</v>
      </c>
      <c r="L242" s="19">
        <f t="shared" si="4"/>
        <v>80498.720000000001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243778.76</v>
      </c>
      <c r="G243" s="18">
        <v>104326.84</v>
      </c>
      <c r="H243" s="18">
        <v>376469.83</v>
      </c>
      <c r="I243" s="18">
        <v>216949.49</v>
      </c>
      <c r="J243" s="18">
        <v>18476.189999999999</v>
      </c>
      <c r="K243" s="18">
        <v>3376.7</v>
      </c>
      <c r="L243" s="19">
        <f t="shared" si="4"/>
        <v>963377.80999999982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10400.76</v>
      </c>
      <c r="G244" s="18">
        <v>2541.3200000000002</v>
      </c>
      <c r="H244" s="18">
        <v>402277.82</v>
      </c>
      <c r="I244" s="18">
        <v>1245.99</v>
      </c>
      <c r="J244" s="18"/>
      <c r="K244" s="18"/>
      <c r="L244" s="19">
        <f t="shared" si="4"/>
        <v>416465.89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6850</v>
      </c>
      <c r="G245" s="18">
        <v>1569.98</v>
      </c>
      <c r="H245" s="18"/>
      <c r="I245" s="18"/>
      <c r="J245" s="18"/>
      <c r="K245" s="18">
        <v>5191.66</v>
      </c>
      <c r="L245" s="19">
        <f>SUM(F245:K245)</f>
        <v>13611.64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3309196.8999999994</v>
      </c>
      <c r="G247" s="41">
        <f t="shared" si="5"/>
        <v>1722580.2800000005</v>
      </c>
      <c r="H247" s="41">
        <f t="shared" si="5"/>
        <v>1205966.3</v>
      </c>
      <c r="I247" s="41">
        <f t="shared" si="5"/>
        <v>358528.77</v>
      </c>
      <c r="J247" s="41">
        <f t="shared" si="5"/>
        <v>100888.27000000002</v>
      </c>
      <c r="K247" s="41">
        <f t="shared" si="5"/>
        <v>107547.92</v>
      </c>
      <c r="L247" s="41">
        <f t="shared" si="5"/>
        <v>6804708.4399999985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9446285.8299999982</v>
      </c>
      <c r="G257" s="41">
        <f t="shared" si="8"/>
        <v>5157908.080000001</v>
      </c>
      <c r="H257" s="41">
        <f t="shared" si="8"/>
        <v>2732254.49</v>
      </c>
      <c r="I257" s="41">
        <f t="shared" si="8"/>
        <v>983806.94</v>
      </c>
      <c r="J257" s="41">
        <f t="shared" si="8"/>
        <v>206405.54000000004</v>
      </c>
      <c r="K257" s="41">
        <f t="shared" si="8"/>
        <v>236333.21</v>
      </c>
      <c r="L257" s="41">
        <f t="shared" si="8"/>
        <v>18762994.090000004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54714</v>
      </c>
      <c r="L263" s="19">
        <f>SUM(F263:K263)</f>
        <v>54714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207729.98</v>
      </c>
      <c r="L266" s="19">
        <f t="shared" si="9"/>
        <v>207729.98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41713</v>
      </c>
      <c r="L268" s="19">
        <f t="shared" si="9"/>
        <v>41713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304156.98</v>
      </c>
      <c r="L270" s="41">
        <f t="shared" si="9"/>
        <v>304156.98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9446285.8299999982</v>
      </c>
      <c r="G271" s="42">
        <f t="shared" si="11"/>
        <v>5157908.080000001</v>
      </c>
      <c r="H271" s="42">
        <f t="shared" si="11"/>
        <v>2732254.49</v>
      </c>
      <c r="I271" s="42">
        <f t="shared" si="11"/>
        <v>983806.94</v>
      </c>
      <c r="J271" s="42">
        <f t="shared" si="11"/>
        <v>206405.54000000004</v>
      </c>
      <c r="K271" s="42">
        <f t="shared" si="11"/>
        <v>540490.18999999994</v>
      </c>
      <c r="L271" s="42">
        <f t="shared" si="11"/>
        <v>19067151.070000004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306516.53000000003</v>
      </c>
      <c r="G276" s="18">
        <v>166471.59</v>
      </c>
      <c r="H276" s="18"/>
      <c r="I276" s="18">
        <v>23740.52</v>
      </c>
      <c r="J276" s="18"/>
      <c r="K276" s="18"/>
      <c r="L276" s="19">
        <f>SUM(F276:K276)</f>
        <v>496728.64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v>9295.2800000000007</v>
      </c>
      <c r="I277" s="18">
        <v>13080.11</v>
      </c>
      <c r="J277" s="18">
        <v>11583.62</v>
      </c>
      <c r="K277" s="18"/>
      <c r="L277" s="19">
        <f>SUM(F277:K277)</f>
        <v>33959.01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>
        <v>7425</v>
      </c>
      <c r="I279" s="18"/>
      <c r="J279" s="18"/>
      <c r="K279" s="18"/>
      <c r="L279" s="19">
        <f>SUM(F279:K279)</f>
        <v>7425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83352.399999999994</v>
      </c>
      <c r="G281" s="18">
        <v>44439.34</v>
      </c>
      <c r="H281" s="18">
        <v>60712.6</v>
      </c>
      <c r="I281" s="18">
        <v>10224.27</v>
      </c>
      <c r="J281" s="18"/>
      <c r="K281" s="18"/>
      <c r="L281" s="19">
        <f t="shared" ref="L281:L287" si="12">SUM(F281:K281)</f>
        <v>198728.61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142911.75</v>
      </c>
      <c r="I282" s="18"/>
      <c r="J282" s="18"/>
      <c r="K282" s="18">
        <v>2479.71</v>
      </c>
      <c r="L282" s="19">
        <f t="shared" si="12"/>
        <v>145391.46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 t="s">
        <v>286</v>
      </c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>
        <v>153</v>
      </c>
      <c r="H288" s="18">
        <v>8047.71</v>
      </c>
      <c r="I288" s="18"/>
      <c r="J288" s="18"/>
      <c r="K288" s="18">
        <v>2200</v>
      </c>
      <c r="L288" s="19">
        <f>SUM(F288:K288)</f>
        <v>10400.709999999999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389868.93000000005</v>
      </c>
      <c r="G290" s="42">
        <f t="shared" si="13"/>
        <v>211063.93</v>
      </c>
      <c r="H290" s="42">
        <f t="shared" si="13"/>
        <v>228392.34</v>
      </c>
      <c r="I290" s="42">
        <f t="shared" si="13"/>
        <v>47044.900000000009</v>
      </c>
      <c r="J290" s="42">
        <f t="shared" si="13"/>
        <v>11583.62</v>
      </c>
      <c r="K290" s="42">
        <f t="shared" si="13"/>
        <v>4679.71</v>
      </c>
      <c r="L290" s="41">
        <f t="shared" si="13"/>
        <v>892633.42999999993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v>3003.6</v>
      </c>
      <c r="J314" s="18">
        <v>1461.56</v>
      </c>
      <c r="K314" s="18"/>
      <c r="L314" s="19">
        <f>SUM(F314:K314)</f>
        <v>4465.16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>
        <v>4481.1899999999996</v>
      </c>
      <c r="I315" s="18">
        <v>5252.81</v>
      </c>
      <c r="J315" s="18">
        <v>5705.37</v>
      </c>
      <c r="K315" s="18"/>
      <c r="L315" s="19">
        <f>SUM(F315:K315)</f>
        <v>15439.369999999999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26775.66</v>
      </c>
      <c r="G316" s="18">
        <v>2495.4899999999998</v>
      </c>
      <c r="H316" s="18">
        <v>8913.8799999999992</v>
      </c>
      <c r="I316" s="18">
        <v>16164.99</v>
      </c>
      <c r="J316" s="18">
        <v>19574.63</v>
      </c>
      <c r="K316" s="18">
        <v>672</v>
      </c>
      <c r="L316" s="19">
        <f>SUM(F316:K316)</f>
        <v>74596.649999999994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>
        <v>1311.99</v>
      </c>
      <c r="J317" s="18"/>
      <c r="K317" s="18"/>
      <c r="L317" s="19">
        <f>SUM(F317:K317)</f>
        <v>1311.99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44754.32</v>
      </c>
      <c r="G319" s="18">
        <v>24020.22</v>
      </c>
      <c r="H319" s="18">
        <v>11214.9</v>
      </c>
      <c r="I319" s="18">
        <v>4960.3100000000004</v>
      </c>
      <c r="J319" s="18">
        <v>1538.25</v>
      </c>
      <c r="K319" s="18">
        <v>2766.04</v>
      </c>
      <c r="L319" s="19">
        <f t="shared" ref="L319:L325" si="16">SUM(F319:K319)</f>
        <v>89254.04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v>25322.73</v>
      </c>
      <c r="I320" s="18"/>
      <c r="J320" s="18"/>
      <c r="K320" s="18"/>
      <c r="L320" s="19">
        <f t="shared" si="16"/>
        <v>25322.73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>
        <v>9212</v>
      </c>
      <c r="I324" s="18"/>
      <c r="J324" s="18">
        <v>14788</v>
      </c>
      <c r="K324" s="18"/>
      <c r="L324" s="19">
        <f t="shared" si="16"/>
        <v>24000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825</v>
      </c>
      <c r="I325" s="18"/>
      <c r="J325" s="18"/>
      <c r="K325" s="18"/>
      <c r="L325" s="19">
        <f t="shared" si="16"/>
        <v>825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>
        <v>3679.5</v>
      </c>
      <c r="I326" s="18"/>
      <c r="J326" s="18"/>
      <c r="K326" s="18"/>
      <c r="L326" s="19">
        <f>SUM(F326:K326)</f>
        <v>3679.5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71529.98</v>
      </c>
      <c r="G328" s="42">
        <f t="shared" si="17"/>
        <v>26515.71</v>
      </c>
      <c r="H328" s="42">
        <f t="shared" si="17"/>
        <v>63649.2</v>
      </c>
      <c r="I328" s="42">
        <f t="shared" si="17"/>
        <v>30693.700000000004</v>
      </c>
      <c r="J328" s="42">
        <f t="shared" si="17"/>
        <v>43067.81</v>
      </c>
      <c r="K328" s="42">
        <f t="shared" si="17"/>
        <v>3438.04</v>
      </c>
      <c r="L328" s="41">
        <f t="shared" si="17"/>
        <v>238894.44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>
        <v>8700.8700000000008</v>
      </c>
      <c r="I333" s="18">
        <v>4214.6899999999996</v>
      </c>
      <c r="J333" s="18"/>
      <c r="K333" s="18">
        <v>1200</v>
      </c>
      <c r="L333" s="19">
        <f t="shared" si="18"/>
        <v>14115.560000000001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8700.8700000000008</v>
      </c>
      <c r="I337" s="41">
        <f t="shared" si="19"/>
        <v>4214.6899999999996</v>
      </c>
      <c r="J337" s="41">
        <f t="shared" si="19"/>
        <v>0</v>
      </c>
      <c r="K337" s="41">
        <f t="shared" si="19"/>
        <v>1200</v>
      </c>
      <c r="L337" s="41">
        <f t="shared" si="18"/>
        <v>14115.560000000001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461398.91000000003</v>
      </c>
      <c r="G338" s="41">
        <f t="shared" si="20"/>
        <v>237579.63999999998</v>
      </c>
      <c r="H338" s="41">
        <f t="shared" si="20"/>
        <v>300742.40999999997</v>
      </c>
      <c r="I338" s="41">
        <f t="shared" si="20"/>
        <v>81953.290000000008</v>
      </c>
      <c r="J338" s="41">
        <f t="shared" si="20"/>
        <v>54651.43</v>
      </c>
      <c r="K338" s="41">
        <f t="shared" si="20"/>
        <v>9317.75</v>
      </c>
      <c r="L338" s="41">
        <f t="shared" si="20"/>
        <v>1145643.43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60781.01</v>
      </c>
      <c r="L344" s="19">
        <f t="shared" ref="L344:L350" si="21">SUM(F344:K344)</f>
        <v>60781.01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60781.01</v>
      </c>
      <c r="L351" s="41">
        <f>SUM(L341:L350)</f>
        <v>60781.01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461398.91000000003</v>
      </c>
      <c r="G352" s="41">
        <f>G338</f>
        <v>237579.63999999998</v>
      </c>
      <c r="H352" s="41">
        <f>H338</f>
        <v>300742.40999999997</v>
      </c>
      <c r="I352" s="41">
        <f>I338</f>
        <v>81953.290000000008</v>
      </c>
      <c r="J352" s="41">
        <f>J338</f>
        <v>54651.43</v>
      </c>
      <c r="K352" s="47">
        <f>K338+K351</f>
        <v>70098.760000000009</v>
      </c>
      <c r="L352" s="41">
        <f>L338+L351</f>
        <v>1206424.44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140794.54</v>
      </c>
      <c r="G358" s="18">
        <v>88697.64</v>
      </c>
      <c r="H358" s="18">
        <v>1768.93</v>
      </c>
      <c r="I358" s="18">
        <v>130720.68</v>
      </c>
      <c r="J358" s="18">
        <v>316</v>
      </c>
      <c r="K358" s="18">
        <v>3512.74</v>
      </c>
      <c r="L358" s="13">
        <f>SUM(F358:K358)</f>
        <v>365810.52999999997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64765.25</v>
      </c>
      <c r="G360" s="18">
        <v>42745.55</v>
      </c>
      <c r="H360" s="18">
        <v>814.21</v>
      </c>
      <c r="I360" s="18">
        <v>74860.06</v>
      </c>
      <c r="J360" s="18">
        <v>178.23</v>
      </c>
      <c r="K360" s="18">
        <v>1185.2</v>
      </c>
      <c r="L360" s="19">
        <f>SUM(F360:K360)</f>
        <v>184548.50000000003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205559.79</v>
      </c>
      <c r="G362" s="47">
        <f t="shared" si="22"/>
        <v>131443.19</v>
      </c>
      <c r="H362" s="47">
        <f t="shared" si="22"/>
        <v>2583.1400000000003</v>
      </c>
      <c r="I362" s="47">
        <f t="shared" si="22"/>
        <v>205580.74</v>
      </c>
      <c r="J362" s="47">
        <f t="shared" si="22"/>
        <v>494.23</v>
      </c>
      <c r="K362" s="47">
        <f t="shared" si="22"/>
        <v>4697.9399999999996</v>
      </c>
      <c r="L362" s="47">
        <f t="shared" si="22"/>
        <v>550359.03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123078.06</v>
      </c>
      <c r="G367" s="18"/>
      <c r="H367" s="18">
        <v>70529.03</v>
      </c>
      <c r="I367" s="56">
        <f>SUM(F367:H367)</f>
        <v>193607.09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7642.62</v>
      </c>
      <c r="G368" s="63"/>
      <c r="H368" s="63">
        <v>4331.03</v>
      </c>
      <c r="I368" s="56">
        <f>SUM(F368:H368)</f>
        <v>11973.65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130720.68</v>
      </c>
      <c r="G369" s="47">
        <f>SUM(G367:G368)</f>
        <v>0</v>
      </c>
      <c r="H369" s="47">
        <f>SUM(H367:H368)</f>
        <v>74860.06</v>
      </c>
      <c r="I369" s="47">
        <f>SUM(I367:I368)</f>
        <v>205580.74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>
        <v>37.479999999999997</v>
      </c>
      <c r="I391" s="18"/>
      <c r="J391" s="24" t="s">
        <v>288</v>
      </c>
      <c r="K391" s="24" t="s">
        <v>288</v>
      </c>
      <c r="L391" s="56">
        <f t="shared" si="25"/>
        <v>37.479999999999997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82729.98</v>
      </c>
      <c r="H392" s="18">
        <v>69.97</v>
      </c>
      <c r="I392" s="18"/>
      <c r="J392" s="24" t="s">
        <v>288</v>
      </c>
      <c r="K392" s="24" t="s">
        <v>288</v>
      </c>
      <c r="L392" s="56">
        <f t="shared" si="25"/>
        <v>82799.95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82729.98</v>
      </c>
      <c r="H393" s="139">
        <f>SUM(H387:H392)</f>
        <v>107.44999999999999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82837.429999999993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125000</v>
      </c>
      <c r="H396" s="18">
        <v>488.09</v>
      </c>
      <c r="I396" s="18"/>
      <c r="J396" s="24" t="s">
        <v>288</v>
      </c>
      <c r="K396" s="24" t="s">
        <v>288</v>
      </c>
      <c r="L396" s="56">
        <f t="shared" si="26"/>
        <v>125488.09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 t="s">
        <v>286</v>
      </c>
      <c r="G400" s="18"/>
      <c r="H400" s="18">
        <v>11184.49</v>
      </c>
      <c r="I400" s="18">
        <v>13292</v>
      </c>
      <c r="J400" s="24" t="s">
        <v>288</v>
      </c>
      <c r="K400" s="24" t="s">
        <v>288</v>
      </c>
      <c r="L400" s="56">
        <f t="shared" si="26"/>
        <v>24476.489999999998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11672.58</v>
      </c>
      <c r="I401" s="47">
        <f>SUM(I395:I400)</f>
        <v>13292</v>
      </c>
      <c r="J401" s="45" t="s">
        <v>288</v>
      </c>
      <c r="K401" s="45" t="s">
        <v>288</v>
      </c>
      <c r="L401" s="47">
        <f>SUM(L395:L400)</f>
        <v>149964.57999999999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207729.97999999998</v>
      </c>
      <c r="H408" s="47">
        <f>H393+H401+H407</f>
        <v>11780.03</v>
      </c>
      <c r="I408" s="47">
        <f>I393+I401+I407</f>
        <v>13292</v>
      </c>
      <c r="J408" s="24" t="s">
        <v>288</v>
      </c>
      <c r="K408" s="24" t="s">
        <v>288</v>
      </c>
      <c r="L408" s="47">
        <f>L393+L401+L407</f>
        <v>232802.00999999998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>
        <v>80262.100000000006</v>
      </c>
      <c r="I418" s="18"/>
      <c r="J418" s="18">
        <v>37940</v>
      </c>
      <c r="K418" s="18"/>
      <c r="L418" s="56">
        <f t="shared" si="27"/>
        <v>118202.1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80262.100000000006</v>
      </c>
      <c r="I419" s="139">
        <f t="shared" si="28"/>
        <v>0</v>
      </c>
      <c r="J419" s="139">
        <f t="shared" si="28"/>
        <v>37940</v>
      </c>
      <c r="K419" s="139">
        <f t="shared" si="28"/>
        <v>0</v>
      </c>
      <c r="L419" s="47">
        <f t="shared" si="28"/>
        <v>118202.1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13822</v>
      </c>
      <c r="I426" s="18"/>
      <c r="J426" s="18"/>
      <c r="K426" s="18"/>
      <c r="L426" s="56">
        <f t="shared" si="29"/>
        <v>13822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13822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13822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94084.1</v>
      </c>
      <c r="I434" s="47">
        <f t="shared" si="32"/>
        <v>0</v>
      </c>
      <c r="J434" s="47">
        <f t="shared" si="32"/>
        <v>37940</v>
      </c>
      <c r="K434" s="47">
        <f t="shared" si="32"/>
        <v>0</v>
      </c>
      <c r="L434" s="47">
        <f t="shared" si="32"/>
        <v>132024.1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254926.75</v>
      </c>
      <c r="G442" s="18">
        <v>844802.51</v>
      </c>
      <c r="H442" s="18"/>
      <c r="I442" s="56">
        <f t="shared" si="33"/>
        <v>1099729.26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254926.75</v>
      </c>
      <c r="G446" s="13">
        <f>SUM(G439:G445)</f>
        <v>844802.51</v>
      </c>
      <c r="H446" s="13">
        <f>SUM(H439:H445)</f>
        <v>0</v>
      </c>
      <c r="I446" s="13">
        <f>SUM(I439:I445)</f>
        <v>1099729.26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254926.75</v>
      </c>
      <c r="G459" s="18">
        <v>844802.51</v>
      </c>
      <c r="H459" s="18"/>
      <c r="I459" s="56">
        <f t="shared" si="34"/>
        <v>1099729.26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254926.75</v>
      </c>
      <c r="G460" s="83">
        <f>SUM(G454:G459)</f>
        <v>844802.51</v>
      </c>
      <c r="H460" s="83">
        <f>SUM(H454:H459)</f>
        <v>0</v>
      </c>
      <c r="I460" s="83">
        <f>SUM(I454:I459)</f>
        <v>1099729.26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254926.75</v>
      </c>
      <c r="G461" s="42">
        <f>G452+G460</f>
        <v>844802.51</v>
      </c>
      <c r="H461" s="42">
        <f>H452+H460</f>
        <v>0</v>
      </c>
      <c r="I461" s="42">
        <f>I452+I460</f>
        <v>1099729.26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849259.71</v>
      </c>
      <c r="G465" s="18">
        <v>0</v>
      </c>
      <c r="H465" s="18">
        <v>19695.45</v>
      </c>
      <c r="I465" s="18">
        <v>0</v>
      </c>
      <c r="J465" s="18">
        <v>998951.35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SUM(F193)</f>
        <v>18841002.620000001</v>
      </c>
      <c r="G468" s="18">
        <f>SUM(G193)</f>
        <v>550359.03</v>
      </c>
      <c r="H468" s="18">
        <f>SUM(H193)</f>
        <v>1207910.9300000002</v>
      </c>
      <c r="I468" s="18"/>
      <c r="J468" s="18">
        <v>232802.01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18841002.620000001</v>
      </c>
      <c r="G470" s="53">
        <f>SUM(G468:G469)</f>
        <v>550359.03</v>
      </c>
      <c r="H470" s="53">
        <f>SUM(H468:H469)</f>
        <v>1207910.9300000002</v>
      </c>
      <c r="I470" s="53">
        <f>SUM(I468:I469)</f>
        <v>0</v>
      </c>
      <c r="J470" s="53">
        <f>SUM(J468:J469)</f>
        <v>232802.01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SUM(L271)</f>
        <v>19067151.070000004</v>
      </c>
      <c r="G472" s="18">
        <v>550359.03</v>
      </c>
      <c r="H472" s="18">
        <v>1206424.44</v>
      </c>
      <c r="I472" s="18"/>
      <c r="J472" s="18">
        <v>132024.1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>
        <v>0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19067151.070000004</v>
      </c>
      <c r="G474" s="53">
        <f>SUM(G472:G473)</f>
        <v>550359.03</v>
      </c>
      <c r="H474" s="53">
        <f>SUM(H472:H473)</f>
        <v>1206424.44</v>
      </c>
      <c r="I474" s="53">
        <f>SUM(I472:I473)</f>
        <v>0</v>
      </c>
      <c r="J474" s="53">
        <f>SUM(J472:J473)</f>
        <v>132024.1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623111.25999999791</v>
      </c>
      <c r="G476" s="53">
        <f>(G465+G470)- G474</f>
        <v>0</v>
      </c>
      <c r="H476" s="53">
        <f>(H465+H470)- H474</f>
        <v>21181.940000000177</v>
      </c>
      <c r="I476" s="53">
        <f>(I465+I470)- I474</f>
        <v>0</v>
      </c>
      <c r="J476" s="53">
        <f>(J465+J470)- J474</f>
        <v>1099729.2599999998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792526.72</v>
      </c>
      <c r="G521" s="18">
        <v>577450.12</v>
      </c>
      <c r="H521" s="18">
        <v>227701.07</v>
      </c>
      <c r="I521" s="18">
        <v>18971.439999999999</v>
      </c>
      <c r="J521" s="18">
        <v>11583.62</v>
      </c>
      <c r="K521" s="18">
        <v>765</v>
      </c>
      <c r="L521" s="88">
        <f>SUM(F521:K521)</f>
        <v>1628997.97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332176.53000000003</v>
      </c>
      <c r="G523" s="18">
        <v>207881.79</v>
      </c>
      <c r="H523" s="18">
        <v>194944.12</v>
      </c>
      <c r="I523" s="18">
        <v>6227.37</v>
      </c>
      <c r="J523" s="18">
        <v>5896.72</v>
      </c>
      <c r="K523" s="18">
        <v>0</v>
      </c>
      <c r="L523" s="88">
        <f>SUM(F523:K523)</f>
        <v>747126.53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1124703.25</v>
      </c>
      <c r="G524" s="108">
        <f t="shared" ref="G524:L524" si="36">SUM(G521:G523)</f>
        <v>785331.91</v>
      </c>
      <c r="H524" s="108">
        <f t="shared" si="36"/>
        <v>422645.19</v>
      </c>
      <c r="I524" s="108">
        <f t="shared" si="36"/>
        <v>25198.809999999998</v>
      </c>
      <c r="J524" s="108">
        <f t="shared" si="36"/>
        <v>17480.34</v>
      </c>
      <c r="K524" s="108">
        <f t="shared" si="36"/>
        <v>765</v>
      </c>
      <c r="L524" s="89">
        <f t="shared" si="36"/>
        <v>2376124.5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387750.94</v>
      </c>
      <c r="G526" s="18">
        <v>213950.83</v>
      </c>
      <c r="H526" s="18">
        <v>67356.39</v>
      </c>
      <c r="I526" s="18"/>
      <c r="J526" s="18"/>
      <c r="K526" s="18"/>
      <c r="L526" s="88">
        <f>SUM(F526:K526)</f>
        <v>669058.16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125733.38</v>
      </c>
      <c r="G528" s="18">
        <v>62776.69</v>
      </c>
      <c r="H528" s="18">
        <v>23040.09</v>
      </c>
      <c r="I528" s="18"/>
      <c r="J528" s="18">
        <v>1538.25</v>
      </c>
      <c r="K528" s="18"/>
      <c r="L528" s="88">
        <f>SUM(F528:K528)</f>
        <v>213088.41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513484.32</v>
      </c>
      <c r="G529" s="89">
        <f t="shared" ref="G529:L529" si="37">SUM(G526:G528)</f>
        <v>276727.52</v>
      </c>
      <c r="H529" s="89">
        <f t="shared" si="37"/>
        <v>90396.479999999996</v>
      </c>
      <c r="I529" s="89">
        <f t="shared" si="37"/>
        <v>0</v>
      </c>
      <c r="J529" s="89">
        <f t="shared" si="37"/>
        <v>1538.25</v>
      </c>
      <c r="K529" s="89">
        <f t="shared" si="37"/>
        <v>0</v>
      </c>
      <c r="L529" s="89">
        <f t="shared" si="37"/>
        <v>882146.57000000007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138720.95999999999</v>
      </c>
      <c r="G531" s="18">
        <v>68986.97</v>
      </c>
      <c r="H531" s="18">
        <v>3025.97</v>
      </c>
      <c r="I531" s="18" t="s">
        <v>286</v>
      </c>
      <c r="J531" s="18"/>
      <c r="K531" s="18">
        <v>10359.91</v>
      </c>
      <c r="L531" s="88">
        <f>SUM(F531:K531)</f>
        <v>221093.81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49620.89</v>
      </c>
      <c r="G533" s="18">
        <v>27165.119999999999</v>
      </c>
      <c r="H533" s="18">
        <v>1246.74</v>
      </c>
      <c r="I533" s="18" t="s">
        <v>286</v>
      </c>
      <c r="J533" s="18"/>
      <c r="K533" s="18">
        <v>3961.92</v>
      </c>
      <c r="L533" s="88">
        <f>SUM(F533:K533)</f>
        <v>81994.67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188341.84999999998</v>
      </c>
      <c r="G534" s="89">
        <f t="shared" ref="G534:L534" si="38">SUM(G531:G533)</f>
        <v>96152.09</v>
      </c>
      <c r="H534" s="89">
        <f t="shared" si="38"/>
        <v>4272.71</v>
      </c>
      <c r="I534" s="89">
        <f t="shared" si="38"/>
        <v>0</v>
      </c>
      <c r="J534" s="89">
        <f t="shared" si="38"/>
        <v>0</v>
      </c>
      <c r="K534" s="89">
        <f t="shared" si="38"/>
        <v>14321.83</v>
      </c>
      <c r="L534" s="89">
        <f t="shared" si="38"/>
        <v>303088.48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18595.8</v>
      </c>
      <c r="G541" s="18">
        <v>4966.75</v>
      </c>
      <c r="H541" s="18">
        <v>90848.56</v>
      </c>
      <c r="I541" s="18">
        <v>2529.75</v>
      </c>
      <c r="J541" s="18"/>
      <c r="K541" s="18"/>
      <c r="L541" s="88">
        <f>SUM(F541:K541)</f>
        <v>116940.86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9159.1200000000008</v>
      </c>
      <c r="G543" s="18">
        <v>2446.3200000000002</v>
      </c>
      <c r="H543" s="18">
        <v>44746.31</v>
      </c>
      <c r="I543" s="18">
        <v>1245.99</v>
      </c>
      <c r="J543" s="18"/>
      <c r="K543" s="18"/>
      <c r="L543" s="88">
        <f>SUM(F543:K543)</f>
        <v>57597.74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27754.92</v>
      </c>
      <c r="G544" s="193">
        <f t="shared" ref="G544:L544" si="40">SUM(G541:G543)</f>
        <v>7413.07</v>
      </c>
      <c r="H544" s="193">
        <f t="shared" si="40"/>
        <v>135594.87</v>
      </c>
      <c r="I544" s="193">
        <f t="shared" si="40"/>
        <v>3775.74</v>
      </c>
      <c r="J544" s="193">
        <f t="shared" si="40"/>
        <v>0</v>
      </c>
      <c r="K544" s="193">
        <f t="shared" si="40"/>
        <v>0</v>
      </c>
      <c r="L544" s="193">
        <f t="shared" si="40"/>
        <v>174538.6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1854284.3399999999</v>
      </c>
      <c r="G545" s="89">
        <f t="shared" ref="G545:L545" si="41">G524+G529+G534+G539+G544</f>
        <v>1165624.5900000003</v>
      </c>
      <c r="H545" s="89">
        <f t="shared" si="41"/>
        <v>652909.25</v>
      </c>
      <c r="I545" s="89">
        <f t="shared" si="41"/>
        <v>28974.549999999996</v>
      </c>
      <c r="J545" s="89">
        <f t="shared" si="41"/>
        <v>19018.59</v>
      </c>
      <c r="K545" s="89">
        <f t="shared" si="41"/>
        <v>15086.83</v>
      </c>
      <c r="L545" s="89">
        <f t="shared" si="41"/>
        <v>3735898.1500000004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1628997.97</v>
      </c>
      <c r="G549" s="87">
        <f>L526</f>
        <v>669058.16</v>
      </c>
      <c r="H549" s="87">
        <f>L531</f>
        <v>221093.81</v>
      </c>
      <c r="I549" s="87">
        <f>L536</f>
        <v>0</v>
      </c>
      <c r="J549" s="87">
        <f>L541</f>
        <v>116940.86</v>
      </c>
      <c r="K549" s="87">
        <f>SUM(F549:J549)</f>
        <v>2636090.7999999998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747126.53</v>
      </c>
      <c r="G551" s="87">
        <f>L528</f>
        <v>213088.41</v>
      </c>
      <c r="H551" s="87">
        <f>L533</f>
        <v>81994.67</v>
      </c>
      <c r="I551" s="87">
        <f>L538</f>
        <v>0</v>
      </c>
      <c r="J551" s="87">
        <f>L543</f>
        <v>57597.74</v>
      </c>
      <c r="K551" s="87">
        <f>SUM(F551:J551)</f>
        <v>1099807.3500000001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2376124.5</v>
      </c>
      <c r="G552" s="89">
        <f t="shared" si="42"/>
        <v>882146.57000000007</v>
      </c>
      <c r="H552" s="89">
        <f t="shared" si="42"/>
        <v>303088.48</v>
      </c>
      <c r="I552" s="89">
        <f t="shared" si="42"/>
        <v>0</v>
      </c>
      <c r="J552" s="89">
        <f t="shared" si="42"/>
        <v>174538.6</v>
      </c>
      <c r="K552" s="89">
        <f t="shared" si="42"/>
        <v>3735898.15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15525</v>
      </c>
      <c r="I579" s="87">
        <f t="shared" si="47"/>
        <v>15525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161548.35</v>
      </c>
      <c r="G582" s="18"/>
      <c r="H582" s="18">
        <v>143868.47</v>
      </c>
      <c r="I582" s="87">
        <f t="shared" si="47"/>
        <v>305416.82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43359.66</v>
      </c>
      <c r="G583" s="18"/>
      <c r="H583" s="18">
        <v>27970.639999999999</v>
      </c>
      <c r="I583" s="87">
        <f t="shared" si="47"/>
        <v>71330.3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50031.45</v>
      </c>
      <c r="I584" s="87">
        <f t="shared" si="47"/>
        <v>50031.45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482655.8</v>
      </c>
      <c r="I591" s="18"/>
      <c r="J591" s="18">
        <v>238727.49</v>
      </c>
      <c r="K591" s="104">
        <f t="shared" ref="K591:K597" si="48">SUM(H591:J591)</f>
        <v>721383.29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116940.86</v>
      </c>
      <c r="I592" s="18"/>
      <c r="J592" s="18">
        <v>57597.74</v>
      </c>
      <c r="K592" s="104">
        <f t="shared" si="48"/>
        <v>174538.6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21354.31</v>
      </c>
      <c r="K593" s="104">
        <f t="shared" si="48"/>
        <v>21354.31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26640.560000000001</v>
      </c>
      <c r="I594" s="18"/>
      <c r="J594" s="18">
        <v>88239.77</v>
      </c>
      <c r="K594" s="104">
        <f t="shared" si="48"/>
        <v>114880.33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16762.349999999999</v>
      </c>
      <c r="I595" s="18"/>
      <c r="J595" s="18">
        <v>10546.58</v>
      </c>
      <c r="K595" s="104">
        <f t="shared" si="48"/>
        <v>27308.93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 t="s">
        <v>286</v>
      </c>
      <c r="I597" s="18"/>
      <c r="J597" s="18" t="s">
        <v>286</v>
      </c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642999.57000000007</v>
      </c>
      <c r="I598" s="108">
        <f>SUM(I591:I597)</f>
        <v>0</v>
      </c>
      <c r="J598" s="108">
        <f>SUM(J591:J597)</f>
        <v>416465.89</v>
      </c>
      <c r="K598" s="108">
        <f>SUM(K591:K597)</f>
        <v>1059465.46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117100.89</v>
      </c>
      <c r="I604" s="18"/>
      <c r="J604" s="18">
        <v>143956.07999999999</v>
      </c>
      <c r="K604" s="104">
        <f>SUM(H604:J604)</f>
        <v>261056.96999999997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117100.89</v>
      </c>
      <c r="I605" s="108">
        <f>SUM(I602:I604)</f>
        <v>0</v>
      </c>
      <c r="J605" s="108">
        <f>SUM(J602:J604)</f>
        <v>143956.07999999999</v>
      </c>
      <c r="K605" s="108">
        <f>SUM(K602:K604)</f>
        <v>261056.96999999997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1556122.3900000001</v>
      </c>
      <c r="H617" s="109">
        <f>SUM(F52)</f>
        <v>1556122.3900000001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19377.849999999999</v>
      </c>
      <c r="H618" s="109">
        <f>SUM(G52)</f>
        <v>19377.849999999999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391115.29</v>
      </c>
      <c r="H619" s="109">
        <f>SUM(H52)</f>
        <v>391115.29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1099729.26</v>
      </c>
      <c r="H621" s="109">
        <f>SUM(J52)</f>
        <v>1099729.26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623111.26</v>
      </c>
      <c r="H622" s="109">
        <f>F476</f>
        <v>623111.25999999791</v>
      </c>
      <c r="I622" s="121" t="s">
        <v>101</v>
      </c>
      <c r="J622" s="109">
        <f t="shared" ref="J622:J655" si="50">G622-H622</f>
        <v>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21181.94</v>
      </c>
      <c r="H624" s="109">
        <f>H476</f>
        <v>21181.940000000177</v>
      </c>
      <c r="I624" s="121" t="s">
        <v>103</v>
      </c>
      <c r="J624" s="109">
        <f t="shared" si="50"/>
        <v>-1.7826096154749393E-10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1099729.26</v>
      </c>
      <c r="H626" s="109">
        <f>J476</f>
        <v>1099729.2599999998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18841002.620000001</v>
      </c>
      <c r="H627" s="104">
        <f>SUM(F468)</f>
        <v>18841002.620000001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550359.03</v>
      </c>
      <c r="H628" s="104">
        <f>SUM(G468)</f>
        <v>550359.03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1207910.9300000002</v>
      </c>
      <c r="H629" s="104">
        <f>SUM(H468)</f>
        <v>1207910.9300000002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232802.01</v>
      </c>
      <c r="H631" s="104">
        <f>SUM(J468)</f>
        <v>232802.01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19067151.070000004</v>
      </c>
      <c r="H632" s="104">
        <f>SUM(F472)</f>
        <v>19067151.070000004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1206424.44</v>
      </c>
      <c r="H633" s="104">
        <f>SUM(H472)</f>
        <v>1206424.44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205580.74</v>
      </c>
      <c r="H634" s="104">
        <f>I369</f>
        <v>205580.74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550359.03</v>
      </c>
      <c r="H635" s="104">
        <f>SUM(G472)</f>
        <v>550359.03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232802.00999999998</v>
      </c>
      <c r="H637" s="164">
        <f>SUM(J468)</f>
        <v>232802.01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132024.1</v>
      </c>
      <c r="H638" s="164">
        <f>SUM(J472)</f>
        <v>132024.1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254926.75</v>
      </c>
      <c r="H639" s="104">
        <f>SUM(F461)</f>
        <v>254926.75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844802.51</v>
      </c>
      <c r="H640" s="104">
        <f>SUM(G461)</f>
        <v>844802.51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1099729.26</v>
      </c>
      <c r="H642" s="104">
        <f>SUM(I461)</f>
        <v>1099729.26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11780.03</v>
      </c>
      <c r="H644" s="104">
        <f>H408</f>
        <v>11780.03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207729.98</v>
      </c>
      <c r="H645" s="104">
        <f>G408</f>
        <v>207729.97999999998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232802.01</v>
      </c>
      <c r="H646" s="104">
        <f>L408</f>
        <v>232802.00999999998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1059465.46</v>
      </c>
      <c r="H647" s="104">
        <f>L208+L226+L244</f>
        <v>1059465.46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261056.96999999997</v>
      </c>
      <c r="H648" s="104">
        <f>(J257+J338)-(J255+J336)</f>
        <v>261056.97000000003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642999.56999999995</v>
      </c>
      <c r="H649" s="104">
        <f>H598</f>
        <v>642999.57000000007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416465.89</v>
      </c>
      <c r="H651" s="104">
        <f>J598</f>
        <v>416465.89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54714</v>
      </c>
      <c r="H652" s="104">
        <f>K263+K345</f>
        <v>54714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207729.98</v>
      </c>
      <c r="H655" s="104">
        <f>K266+K347</f>
        <v>207729.98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13216729.610000003</v>
      </c>
      <c r="G660" s="19">
        <f>(L229+L309+L359)</f>
        <v>0</v>
      </c>
      <c r="H660" s="19">
        <f>(L247+L328+L360)</f>
        <v>7228151.379999999</v>
      </c>
      <c r="I660" s="19">
        <f>SUM(F660:H660)</f>
        <v>20444880.990000002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116582.26531389462</v>
      </c>
      <c r="G661" s="19">
        <f>(L359/IF(SUM(L358:L360)=0,1,SUM(L358:L360))*(SUM(G97:G110)))</f>
        <v>0</v>
      </c>
      <c r="H661" s="19">
        <f>(L360/IF(SUM(L358:L360)=0,1,SUM(L358:L360))*(SUM(G97:G110)))</f>
        <v>58814.824686105363</v>
      </c>
      <c r="I661" s="19">
        <f>SUM(F661:H661)</f>
        <v>175397.08999999997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642999.56999999995</v>
      </c>
      <c r="G662" s="19">
        <f>(L226+L306)-(J226+J306)</f>
        <v>0</v>
      </c>
      <c r="H662" s="19">
        <f>(L244+L325)-(J244+J325)</f>
        <v>417290.89</v>
      </c>
      <c r="I662" s="19">
        <f>SUM(F662:H662)</f>
        <v>1060290.46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322008.90000000002</v>
      </c>
      <c r="G663" s="199">
        <f>SUM(G575:G587)+SUM(I602:I604)+L612</f>
        <v>0</v>
      </c>
      <c r="H663" s="199">
        <f>SUM(H575:H587)+SUM(J602:J604)+L613</f>
        <v>381351.64</v>
      </c>
      <c r="I663" s="19">
        <f>SUM(F663:H663)</f>
        <v>703360.54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12135138.874686109</v>
      </c>
      <c r="G664" s="19">
        <f>G660-SUM(G661:G663)</f>
        <v>0</v>
      </c>
      <c r="H664" s="19">
        <f>H660-SUM(H661:H663)</f>
        <v>6370694.0253138933</v>
      </c>
      <c r="I664" s="19">
        <f>I660-SUM(I661:I663)</f>
        <v>18505832.900000002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725.88</v>
      </c>
      <c r="G665" s="248"/>
      <c r="H665" s="248">
        <v>380.37</v>
      </c>
      <c r="I665" s="19">
        <f>SUM(F665:H665)</f>
        <v>1106.25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16717.830000000002</v>
      </c>
      <c r="G667" s="19" t="e">
        <f>ROUND(G664/G665,2)</f>
        <v>#DIV/0!</v>
      </c>
      <c r="H667" s="19">
        <f>ROUND(H664/H665,2)</f>
        <v>16748.68</v>
      </c>
      <c r="I667" s="19">
        <f>ROUND(I664/I665,2)</f>
        <v>16728.439999999999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3.73</v>
      </c>
      <c r="I670" s="19">
        <f>SUM(F670:H670)</f>
        <v>3.73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16717.830000000002</v>
      </c>
      <c r="G672" s="19" t="e">
        <f>ROUND((G664+G669)/(G665+G670),2)</f>
        <v>#DIV/0!</v>
      </c>
      <c r="H672" s="19">
        <f>ROUND((H664+H669)/(H665+H670),2)</f>
        <v>16586.03</v>
      </c>
      <c r="I672" s="19">
        <f>ROUND((I664+I669)/(I665+I670),2)</f>
        <v>16672.22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2" sqref="A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White Mountains Regional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4676695.63</v>
      </c>
      <c r="C9" s="229">
        <f>'DOE25'!G197+'DOE25'!G215+'DOE25'!G233+'DOE25'!G276+'DOE25'!G295+'DOE25'!G314</f>
        <v>2596290.0299999998</v>
      </c>
    </row>
    <row r="10" spans="1:3" x14ac:dyDescent="0.2">
      <c r="A10" t="s">
        <v>778</v>
      </c>
      <c r="B10" s="240">
        <v>4220264.41</v>
      </c>
      <c r="C10" s="240">
        <v>2425376.91</v>
      </c>
    </row>
    <row r="11" spans="1:3" x14ac:dyDescent="0.2">
      <c r="A11" t="s">
        <v>779</v>
      </c>
      <c r="B11" s="240">
        <v>145844.12</v>
      </c>
      <c r="C11" s="240">
        <v>123278.58</v>
      </c>
    </row>
    <row r="12" spans="1:3" x14ac:dyDescent="0.2">
      <c r="A12" t="s">
        <v>780</v>
      </c>
      <c r="B12" s="240">
        <v>310587.09999999998</v>
      </c>
      <c r="C12" s="240">
        <v>47634.54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4676695.63</v>
      </c>
      <c r="C13" s="231">
        <f>SUM(C10:C12)</f>
        <v>2596290.0300000003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1124258.8500000001</v>
      </c>
      <c r="C18" s="229">
        <f>'DOE25'!G198+'DOE25'!G216+'DOE25'!G234+'DOE25'!G277+'DOE25'!G296+'DOE25'!G315</f>
        <v>786893.95000000007</v>
      </c>
    </row>
    <row r="19" spans="1:3" x14ac:dyDescent="0.2">
      <c r="A19" t="s">
        <v>778</v>
      </c>
      <c r="B19" s="240">
        <v>690000.04</v>
      </c>
      <c r="C19" s="240">
        <v>453829</v>
      </c>
    </row>
    <row r="20" spans="1:3" x14ac:dyDescent="0.2">
      <c r="A20" t="s">
        <v>779</v>
      </c>
      <c r="B20" s="240">
        <v>428082.7</v>
      </c>
      <c r="C20" s="240">
        <v>332015.2</v>
      </c>
    </row>
    <row r="21" spans="1:3" x14ac:dyDescent="0.2">
      <c r="A21" t="s">
        <v>780</v>
      </c>
      <c r="B21" s="240">
        <v>6176.11</v>
      </c>
      <c r="C21" s="240">
        <v>1049.75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1124258.8500000001</v>
      </c>
      <c r="C22" s="231">
        <f>SUM(C19:C21)</f>
        <v>786893.95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321634.65999999997</v>
      </c>
      <c r="C27" s="234">
        <f>'DOE25'!G199+'DOE25'!G217+'DOE25'!G235+'DOE25'!G278+'DOE25'!G297+'DOE25'!G316</f>
        <v>155112.63</v>
      </c>
    </row>
    <row r="28" spans="1:3" x14ac:dyDescent="0.2">
      <c r="A28" t="s">
        <v>778</v>
      </c>
      <c r="B28" s="240">
        <v>298784</v>
      </c>
      <c r="C28" s="240">
        <v>153368.56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>
        <v>22850.66</v>
      </c>
      <c r="C30" s="240">
        <v>1744.07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321634.65999999997</v>
      </c>
      <c r="C31" s="231">
        <f>SUM(C28:C30)</f>
        <v>155112.63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207779.55</v>
      </c>
      <c r="C36" s="235">
        <f>'DOE25'!G200+'DOE25'!G218+'DOE25'!G236+'DOE25'!G279+'DOE25'!G298+'DOE25'!G317</f>
        <v>38266.639999999999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207779.55</v>
      </c>
      <c r="C39" s="240">
        <v>38266.639999999999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207779.55</v>
      </c>
      <c r="C40" s="231">
        <f>SUM(C37:C39)</f>
        <v>38266.639999999999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White Mountains Regional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10429081.410000002</v>
      </c>
      <c r="D5" s="20">
        <f>SUM('DOE25'!L197:L200)+SUM('DOE25'!L215:L218)+SUM('DOE25'!L233:L236)-F5-G5</f>
        <v>10219693.760000002</v>
      </c>
      <c r="E5" s="243"/>
      <c r="F5" s="255">
        <f>SUM('DOE25'!J197:J200)+SUM('DOE25'!J215:J218)+SUM('DOE25'!J233:J236)</f>
        <v>128904.90000000001</v>
      </c>
      <c r="G5" s="53">
        <f>SUM('DOE25'!K197:K200)+SUM('DOE25'!K215:K218)+SUM('DOE25'!K233:K236)</f>
        <v>80482.75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1402578.6600000001</v>
      </c>
      <c r="D6" s="20">
        <f>'DOE25'!L202+'DOE25'!L220+'DOE25'!L238-F6-G6</f>
        <v>1393202.4100000001</v>
      </c>
      <c r="E6" s="243"/>
      <c r="F6" s="255">
        <f>'DOE25'!J202+'DOE25'!J220+'DOE25'!J238</f>
        <v>673.25</v>
      </c>
      <c r="G6" s="53">
        <f>'DOE25'!K202+'DOE25'!K220+'DOE25'!K238</f>
        <v>8703</v>
      </c>
      <c r="H6" s="259"/>
    </row>
    <row r="7" spans="1:9" x14ac:dyDescent="0.2">
      <c r="A7" s="32">
        <v>2200</v>
      </c>
      <c r="B7" t="s">
        <v>833</v>
      </c>
      <c r="C7" s="245">
        <f t="shared" si="0"/>
        <v>458473.86</v>
      </c>
      <c r="D7" s="20">
        <f>'DOE25'!L203+'DOE25'!L221+'DOE25'!L239-F7-G7</f>
        <v>439520.27</v>
      </c>
      <c r="E7" s="243"/>
      <c r="F7" s="255">
        <f>'DOE25'!J203+'DOE25'!J221+'DOE25'!J239</f>
        <v>6237.04</v>
      </c>
      <c r="G7" s="53">
        <f>'DOE25'!K203+'DOE25'!K221+'DOE25'!K239</f>
        <v>12716.55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1085080.9300000002</v>
      </c>
      <c r="D8" s="243"/>
      <c r="E8" s="20">
        <f>'DOE25'!L204+'DOE25'!L222+'DOE25'!L240-F8-G8-D9-D11</f>
        <v>1000124.6700000002</v>
      </c>
      <c r="F8" s="255">
        <f>'DOE25'!J204+'DOE25'!J222+'DOE25'!J240</f>
        <v>16354.82</v>
      </c>
      <c r="G8" s="53">
        <f>'DOE25'!K204+'DOE25'!K222+'DOE25'!K240</f>
        <v>68601.440000000002</v>
      </c>
      <c r="H8" s="259"/>
    </row>
    <row r="9" spans="1:9" x14ac:dyDescent="0.2">
      <c r="A9" s="32">
        <v>2310</v>
      </c>
      <c r="B9" t="s">
        <v>817</v>
      </c>
      <c r="C9" s="245">
        <f t="shared" si="0"/>
        <v>168764.45</v>
      </c>
      <c r="D9" s="244">
        <v>168764.45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15600</v>
      </c>
      <c r="D10" s="243"/>
      <c r="E10" s="244">
        <v>15600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275048.32000000001</v>
      </c>
      <c r="D11" s="244">
        <v>275048.32000000001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1375082.6</v>
      </c>
      <c r="D12" s="20">
        <f>'DOE25'!L205+'DOE25'!L223+'DOE25'!L241-F12-G12</f>
        <v>1315906.96</v>
      </c>
      <c r="E12" s="243"/>
      <c r="F12" s="255">
        <f>'DOE25'!J205+'DOE25'!J223+'DOE25'!J241</f>
        <v>12795.119999999999</v>
      </c>
      <c r="G12" s="53">
        <f>'DOE25'!K205+'DOE25'!K223+'DOE25'!K241</f>
        <v>46380.520000000004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251679.53</v>
      </c>
      <c r="D13" s="243"/>
      <c r="E13" s="20">
        <f>'DOE25'!L206+'DOE25'!L224+'DOE25'!L242-F13-G13</f>
        <v>243635.53</v>
      </c>
      <c r="F13" s="255">
        <f>'DOE25'!J206+'DOE25'!J224+'DOE25'!J242</f>
        <v>7744</v>
      </c>
      <c r="G13" s="53">
        <f>'DOE25'!K206+'DOE25'!K224+'DOE25'!K242</f>
        <v>300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2215517.46</v>
      </c>
      <c r="D14" s="20">
        <f>'DOE25'!L207+'DOE25'!L225+'DOE25'!L243-F14-G14</f>
        <v>2178404.4</v>
      </c>
      <c r="E14" s="243"/>
      <c r="F14" s="255">
        <f>'DOE25'!J207+'DOE25'!J225+'DOE25'!J243</f>
        <v>33696.409999999996</v>
      </c>
      <c r="G14" s="53">
        <f>'DOE25'!K207+'DOE25'!K225+'DOE25'!K243</f>
        <v>3416.6499999999996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1059465.46</v>
      </c>
      <c r="D15" s="20">
        <f>'DOE25'!L208+'DOE25'!L226+'DOE25'!L244-F15-G15</f>
        <v>1059465.46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42221.41</v>
      </c>
      <c r="D16" s="243"/>
      <c r="E16" s="20">
        <f>'DOE25'!L209+'DOE25'!L227+'DOE25'!L245-F16-G16</f>
        <v>26489.110000000004</v>
      </c>
      <c r="F16" s="255">
        <f>'DOE25'!J209+'DOE25'!J227+'DOE25'!J245</f>
        <v>0</v>
      </c>
      <c r="G16" s="53">
        <f>'DOE25'!K209+'DOE25'!K227+'DOE25'!K245</f>
        <v>15732.3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356751.94000000006</v>
      </c>
      <c r="D29" s="20">
        <f>'DOE25'!L358+'DOE25'!L359+'DOE25'!L360-'DOE25'!I367-F29-G29</f>
        <v>351559.77000000008</v>
      </c>
      <c r="E29" s="243"/>
      <c r="F29" s="255">
        <f>'DOE25'!J358+'DOE25'!J359+'DOE25'!J360</f>
        <v>494.23</v>
      </c>
      <c r="G29" s="53">
        <f>'DOE25'!K358+'DOE25'!K359+'DOE25'!K360</f>
        <v>4697.9399999999996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1145643.43</v>
      </c>
      <c r="D31" s="20">
        <f>'DOE25'!L290+'DOE25'!L309+'DOE25'!L328+'DOE25'!L333+'DOE25'!L334+'DOE25'!L335-F31-G31</f>
        <v>1081674.25</v>
      </c>
      <c r="E31" s="243"/>
      <c r="F31" s="255">
        <f>'DOE25'!J290+'DOE25'!J309+'DOE25'!J328+'DOE25'!J333+'DOE25'!J334+'DOE25'!J335</f>
        <v>54651.43</v>
      </c>
      <c r="G31" s="53">
        <f>'DOE25'!K290+'DOE25'!K309+'DOE25'!K328+'DOE25'!K333+'DOE25'!K334+'DOE25'!K335</f>
        <v>9317.75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18483240.050000001</v>
      </c>
      <c r="E33" s="246">
        <f>SUM(E5:E31)</f>
        <v>1285849.3100000003</v>
      </c>
      <c r="F33" s="246">
        <f>SUM(F5:F31)</f>
        <v>261551.2</v>
      </c>
      <c r="G33" s="246">
        <f>SUM(G5:G31)</f>
        <v>250348.9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1285849.3100000003</v>
      </c>
      <c r="E35" s="249"/>
    </row>
    <row r="36" spans="2:8" ht="12" thickTop="1" x14ac:dyDescent="0.2">
      <c r="B36" t="s">
        <v>814</v>
      </c>
      <c r="D36" s="20">
        <f>D33</f>
        <v>18483240.050000001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White Mountains Regional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1280852.79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160.49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107931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156873.01999999999</v>
      </c>
      <c r="D12" s="95">
        <f>'DOE25'!G13</f>
        <v>19377.849999999999</v>
      </c>
      <c r="E12" s="95">
        <f>'DOE25'!H13</f>
        <v>391115.29</v>
      </c>
      <c r="F12" s="95">
        <f>'DOE25'!I13</f>
        <v>0</v>
      </c>
      <c r="G12" s="95">
        <f>'DOE25'!J13</f>
        <v>1099729.26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7880.09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2425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1556122.3900000001</v>
      </c>
      <c r="D18" s="41">
        <f>SUM(D8:D17)</f>
        <v>19377.849999999999</v>
      </c>
      <c r="E18" s="41">
        <f>SUM(E8:E17)</f>
        <v>391115.29</v>
      </c>
      <c r="F18" s="41">
        <f>SUM(F8:F17)</f>
        <v>0</v>
      </c>
      <c r="G18" s="41">
        <f>SUM(G8:G17)</f>
        <v>1099729.26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-274604.95</v>
      </c>
      <c r="D21" s="95">
        <f>'DOE25'!G22</f>
        <v>19377.849999999999</v>
      </c>
      <c r="E21" s="95">
        <f>'DOE25'!H22</f>
        <v>255227.1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22729.98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1184886.1000000001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114706.25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933011.13000000012</v>
      </c>
      <c r="D31" s="41">
        <f>SUM(D21:D30)</f>
        <v>19377.849999999999</v>
      </c>
      <c r="E31" s="41">
        <f>SUM(E21:E30)</f>
        <v>369933.35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435000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21181.94</v>
      </c>
      <c r="F47" s="95">
        <f>'DOE25'!I48</f>
        <v>0</v>
      </c>
      <c r="G47" s="95">
        <f>'DOE25'!J48</f>
        <v>1099729.26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161349.82999999999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26761.43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623111.26</v>
      </c>
      <c r="D50" s="41">
        <f>SUM(D34:D49)</f>
        <v>0</v>
      </c>
      <c r="E50" s="41">
        <f>SUM(E34:E49)</f>
        <v>21181.94</v>
      </c>
      <c r="F50" s="41">
        <f>SUM(F34:F49)</f>
        <v>0</v>
      </c>
      <c r="G50" s="41">
        <f>SUM(G34:G49)</f>
        <v>1099729.26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1556122.3900000001</v>
      </c>
      <c r="D51" s="41">
        <f>D50+D31</f>
        <v>19377.849999999999</v>
      </c>
      <c r="E51" s="41">
        <f>E50+E31</f>
        <v>391115.29</v>
      </c>
      <c r="F51" s="41">
        <f>F50+F31</f>
        <v>0</v>
      </c>
      <c r="G51" s="41">
        <f>G50+G31</f>
        <v>1099729.26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9269951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639916.65000000014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3846.29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11780.03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175115.09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13133.18</v>
      </c>
      <c r="D61" s="95">
        <f>SUM('DOE25'!G98:G110)</f>
        <v>282</v>
      </c>
      <c r="E61" s="95">
        <f>SUM('DOE25'!H98:H110)</f>
        <v>62209.810000000005</v>
      </c>
      <c r="F61" s="95">
        <f>SUM('DOE25'!I98:I110)</f>
        <v>0</v>
      </c>
      <c r="G61" s="95">
        <f>SUM('DOE25'!J98:J110)</f>
        <v>13292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656896.12000000023</v>
      </c>
      <c r="D62" s="130">
        <f>SUM(D57:D61)</f>
        <v>175397.09</v>
      </c>
      <c r="E62" s="130">
        <f>SUM(E57:E61)</f>
        <v>62209.810000000005</v>
      </c>
      <c r="F62" s="130">
        <f>SUM(F57:F61)</f>
        <v>0</v>
      </c>
      <c r="G62" s="130">
        <f>SUM(G57:G61)</f>
        <v>25072.03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9926847.120000001</v>
      </c>
      <c r="D63" s="22">
        <f>D56+D62</f>
        <v>175397.09</v>
      </c>
      <c r="E63" s="22">
        <f>E56+E62</f>
        <v>62209.810000000005</v>
      </c>
      <c r="F63" s="22">
        <f>F56+F62</f>
        <v>0</v>
      </c>
      <c r="G63" s="22">
        <f>G56+G62</f>
        <v>25072.03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6466713.2400000002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2153743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3640.13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8624096.370000001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134345.38999999998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7242.41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134345.38999999998</v>
      </c>
      <c r="D78" s="130">
        <f>SUM(D72:D77)</f>
        <v>7242.41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8758441.7600000016</v>
      </c>
      <c r="D81" s="130">
        <f>SUM(D79:D80)+D78+D70</f>
        <v>7242.41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16606.489999999998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78459.41</v>
      </c>
      <c r="D88" s="95">
        <f>SUM('DOE25'!G153:G161)</f>
        <v>313005.53000000003</v>
      </c>
      <c r="E88" s="95">
        <f>SUM('DOE25'!H153:H161)</f>
        <v>1129094.6300000001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16379.49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94838.900000000009</v>
      </c>
      <c r="D91" s="131">
        <f>SUM(D85:D90)</f>
        <v>313005.53000000003</v>
      </c>
      <c r="E91" s="131">
        <f>SUM(E85:E90)</f>
        <v>1145701.1200000001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54714</v>
      </c>
      <c r="E96" s="95">
        <f>'DOE25'!H179</f>
        <v>0</v>
      </c>
      <c r="F96" s="95">
        <f>'DOE25'!I179</f>
        <v>0</v>
      </c>
      <c r="G96" s="95">
        <f>'DOE25'!J179</f>
        <v>207729.98</v>
      </c>
    </row>
    <row r="97" spans="1:7" x14ac:dyDescent="0.2">
      <c r="A97" t="s">
        <v>757</v>
      </c>
      <c r="B97" s="32" t="s">
        <v>188</v>
      </c>
      <c r="C97" s="95">
        <f>SUM('DOE25'!F180:F181)</f>
        <v>60874.84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60874.84</v>
      </c>
      <c r="D103" s="86">
        <f>SUM(D93:D102)</f>
        <v>54714</v>
      </c>
      <c r="E103" s="86">
        <f>SUM(E93:E102)</f>
        <v>0</v>
      </c>
      <c r="F103" s="86">
        <f>SUM(F93:F102)</f>
        <v>0</v>
      </c>
      <c r="G103" s="86">
        <f>SUM(G93:G102)</f>
        <v>207729.98</v>
      </c>
    </row>
    <row r="104" spans="1:7" ht="12.75" thickTop="1" thickBot="1" x14ac:dyDescent="0.25">
      <c r="A104" s="33" t="s">
        <v>764</v>
      </c>
      <c r="C104" s="86">
        <f>C63+C81+C91+C103</f>
        <v>18841002.620000001</v>
      </c>
      <c r="D104" s="86">
        <f>D63+D81+D91+D103</f>
        <v>550359.03</v>
      </c>
      <c r="E104" s="86">
        <f>E63+E81+E91+E103</f>
        <v>1207910.9300000002</v>
      </c>
      <c r="F104" s="86">
        <f>F63+F81+F91+F103</f>
        <v>0</v>
      </c>
      <c r="G104" s="86">
        <f>G63+G81+G103</f>
        <v>232802.01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7283058.3200000012</v>
      </c>
      <c r="D109" s="24" t="s">
        <v>288</v>
      </c>
      <c r="E109" s="95">
        <f>('DOE25'!L276)+('DOE25'!L295)+('DOE25'!L314)</f>
        <v>501193.8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2308281.5000000005</v>
      </c>
      <c r="D110" s="24" t="s">
        <v>288</v>
      </c>
      <c r="E110" s="95">
        <f>('DOE25'!L277)+('DOE25'!L296)+('DOE25'!L315)</f>
        <v>49398.380000000005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505198.32</v>
      </c>
      <c r="D111" s="24" t="s">
        <v>288</v>
      </c>
      <c r="E111" s="95">
        <f>('DOE25'!L278)+('DOE25'!L297)+('DOE25'!L316)</f>
        <v>74596.649999999994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332543.27</v>
      </c>
      <c r="D112" s="24" t="s">
        <v>288</v>
      </c>
      <c r="E112" s="95">
        <f>+('DOE25'!L279)+('DOE25'!L298)+('DOE25'!L317)</f>
        <v>8736.99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14115.560000000001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10429081.410000002</v>
      </c>
      <c r="D115" s="86">
        <f>SUM(D109:D114)</f>
        <v>0</v>
      </c>
      <c r="E115" s="86">
        <f>SUM(E109:E114)</f>
        <v>648041.38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1402578.6600000001</v>
      </c>
      <c r="D118" s="24" t="s">
        <v>288</v>
      </c>
      <c r="E118" s="95">
        <f>+('DOE25'!L281)+('DOE25'!L300)+('DOE25'!L319)</f>
        <v>287982.64999999997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458473.86</v>
      </c>
      <c r="D119" s="24" t="s">
        <v>288</v>
      </c>
      <c r="E119" s="95">
        <f>+('DOE25'!L282)+('DOE25'!L301)+('DOE25'!L320)</f>
        <v>170714.19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1528893.7000000002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1375082.6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251679.53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2215517.46</v>
      </c>
      <c r="D123" s="24" t="s">
        <v>288</v>
      </c>
      <c r="E123" s="95">
        <f>+('DOE25'!L286)+('DOE25'!L305)+('DOE25'!L324)</f>
        <v>24000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1059465.46</v>
      </c>
      <c r="D124" s="24" t="s">
        <v>288</v>
      </c>
      <c r="E124" s="95">
        <f>+('DOE25'!L287)+('DOE25'!L306)+('DOE25'!L325)</f>
        <v>825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42221.41</v>
      </c>
      <c r="D125" s="24" t="s">
        <v>288</v>
      </c>
      <c r="E125" s="95">
        <f>+('DOE25'!L288)+('DOE25'!L307)+('DOE25'!L326)</f>
        <v>14080.21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550359.03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8333912.6800000006</v>
      </c>
      <c r="D128" s="86">
        <f>SUM(D118:D127)</f>
        <v>550359.03</v>
      </c>
      <c r="E128" s="86">
        <f>SUM(E118:E127)</f>
        <v>497602.05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60781.01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54714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82837.429999999993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149964.57999999999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-25072.02999999997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41713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304156.98000000004</v>
      </c>
      <c r="D144" s="141">
        <f>SUM(D130:D143)</f>
        <v>0</v>
      </c>
      <c r="E144" s="141">
        <f>SUM(E130:E143)</f>
        <v>60781.01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19067151.070000004</v>
      </c>
      <c r="D145" s="86">
        <f>(D115+D128+D144)</f>
        <v>550359.03</v>
      </c>
      <c r="E145" s="86">
        <f>(E115+E128+E144)</f>
        <v>1206424.44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White Mountains Regional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16718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16586</v>
      </c>
    </row>
    <row r="7" spans="1:4" x14ac:dyDescent="0.2">
      <c r="B7" t="s">
        <v>704</v>
      </c>
      <c r="C7" s="179">
        <f>IF('DOE25'!I665+'DOE25'!I670=0,0,ROUND('DOE25'!I672,0))</f>
        <v>16672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7784252</v>
      </c>
      <c r="D10" s="182">
        <f>ROUND((C10/$C$28)*100,1)</f>
        <v>38.299999999999997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2357680</v>
      </c>
      <c r="D11" s="182">
        <f>ROUND((C11/$C$28)*100,1)</f>
        <v>11.6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579795</v>
      </c>
      <c r="D12" s="182">
        <f>ROUND((C12/$C$28)*100,1)</f>
        <v>2.9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341280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1690561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629188</v>
      </c>
      <c r="D16" s="182">
        <f t="shared" si="0"/>
        <v>3.1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1585195</v>
      </c>
      <c r="D17" s="182">
        <f t="shared" si="0"/>
        <v>7.8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1375083</v>
      </c>
      <c r="D18" s="182">
        <f t="shared" si="0"/>
        <v>6.8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251680</v>
      </c>
      <c r="D19" s="182">
        <f t="shared" si="0"/>
        <v>1.2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2239517</v>
      </c>
      <c r="D20" s="182">
        <f t="shared" si="0"/>
        <v>11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1060290</v>
      </c>
      <c r="D21" s="182">
        <f t="shared" si="0"/>
        <v>5.2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14116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41713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374961.91000000003</v>
      </c>
      <c r="D27" s="182">
        <f t="shared" si="0"/>
        <v>1.8</v>
      </c>
    </row>
    <row r="28" spans="1:4" x14ac:dyDescent="0.2">
      <c r="B28" s="187" t="s">
        <v>722</v>
      </c>
      <c r="C28" s="180">
        <f>SUM(C10:C27)</f>
        <v>20325311.91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20325311.91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9269951</v>
      </c>
      <c r="D35" s="182">
        <f t="shared" ref="D35:D40" si="1">ROUND((C35/$C$41)*100,1)</f>
        <v>45.6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744177.96000000089</v>
      </c>
      <c r="D36" s="182">
        <f t="shared" si="1"/>
        <v>3.7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8620456</v>
      </c>
      <c r="D37" s="182">
        <f t="shared" si="1"/>
        <v>42.4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145228</v>
      </c>
      <c r="D38" s="182">
        <f t="shared" si="1"/>
        <v>0.7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1553546</v>
      </c>
      <c r="D39" s="182">
        <f t="shared" si="1"/>
        <v>7.6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20333358.960000001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White Mountains Regional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2017-10-17T14:33:23Z</cp:lastPrinted>
  <dcterms:created xsi:type="dcterms:W3CDTF">1997-12-04T19:04:30Z</dcterms:created>
  <dcterms:modified xsi:type="dcterms:W3CDTF">2017-11-29T18:08:45Z</dcterms:modified>
</cp:coreProperties>
</file>