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C20" i="12"/>
  <c r="C10" i="12"/>
  <c r="B11" i="12"/>
  <c r="B12" i="12"/>
  <c r="C37" i="12"/>
  <c r="C39" i="12"/>
  <c r="C38" i="12"/>
  <c r="B39" i="12"/>
  <c r="B38" i="12"/>
  <c r="B37" i="12"/>
  <c r="B20" i="12"/>
  <c r="B10" i="12"/>
  <c r="D9" i="13" l="1"/>
  <c r="G611" i="1" l="1"/>
  <c r="F611" i="1"/>
  <c r="G612" i="1"/>
  <c r="F612" i="1"/>
  <c r="J604" i="1"/>
  <c r="I604" i="1"/>
  <c r="H604" i="1"/>
  <c r="H595" i="1"/>
  <c r="H592" i="1"/>
  <c r="H591" i="1"/>
  <c r="J592" i="1"/>
  <c r="H584" i="1"/>
  <c r="F582" i="1"/>
  <c r="I507" i="1"/>
  <c r="G502" i="1"/>
  <c r="F502" i="1"/>
  <c r="G499" i="1"/>
  <c r="F499" i="1"/>
  <c r="G498" i="1"/>
  <c r="F498" i="1"/>
  <c r="K533" i="1"/>
  <c r="K532" i="1"/>
  <c r="K531" i="1"/>
  <c r="I533" i="1"/>
  <c r="I532" i="1"/>
  <c r="I531" i="1"/>
  <c r="H533" i="1"/>
  <c r="H532" i="1"/>
  <c r="H531" i="1"/>
  <c r="G533" i="1"/>
  <c r="G532" i="1"/>
  <c r="G531" i="1"/>
  <c r="F533" i="1"/>
  <c r="F532" i="1"/>
  <c r="F531" i="1"/>
  <c r="H538" i="1"/>
  <c r="H537" i="1"/>
  <c r="H536" i="1"/>
  <c r="H541" i="1"/>
  <c r="H543" i="1"/>
  <c r="H542" i="1"/>
  <c r="I526" i="1"/>
  <c r="H526" i="1"/>
  <c r="H528" i="1"/>
  <c r="H527" i="1"/>
  <c r="G526" i="1"/>
  <c r="F526" i="1"/>
  <c r="J523" i="1"/>
  <c r="K522" i="1"/>
  <c r="K521" i="1"/>
  <c r="J521" i="1"/>
  <c r="K523" i="1"/>
  <c r="I521" i="1"/>
  <c r="I523" i="1"/>
  <c r="I522" i="1"/>
  <c r="H522" i="1"/>
  <c r="H521" i="1"/>
  <c r="H523" i="1"/>
  <c r="G521" i="1"/>
  <c r="G523" i="1"/>
  <c r="G522" i="1"/>
  <c r="F521" i="1"/>
  <c r="F523" i="1"/>
  <c r="F522" i="1"/>
  <c r="F473" i="1" l="1"/>
  <c r="F241" i="1"/>
  <c r="F245" i="1"/>
  <c r="F205" i="1"/>
  <c r="F225" i="1"/>
  <c r="F243" i="1"/>
  <c r="F209" i="1"/>
  <c r="F207" i="1"/>
  <c r="F242" i="1"/>
  <c r="F224" i="1"/>
  <c r="F206" i="1"/>
  <c r="F223" i="1"/>
  <c r="F204" i="1"/>
  <c r="F222" i="1"/>
  <c r="F240" i="1"/>
  <c r="F202" i="1"/>
  <c r="F220" i="1"/>
  <c r="F238" i="1"/>
  <c r="K241" i="1"/>
  <c r="K223" i="1"/>
  <c r="K240" i="1"/>
  <c r="K202" i="1"/>
  <c r="K236" i="1"/>
  <c r="G203" i="1" l="1"/>
  <c r="G221" i="1"/>
  <c r="G239" i="1"/>
  <c r="G233" i="1"/>
  <c r="G215" i="1"/>
  <c r="F23" i="1" l="1"/>
  <c r="F29" i="1"/>
  <c r="F472" i="1"/>
  <c r="H422" i="1" l="1"/>
  <c r="J468" i="1"/>
  <c r="F50" i="1" l="1"/>
  <c r="J233" i="1" l="1"/>
  <c r="J215" i="1"/>
  <c r="J197" i="1"/>
  <c r="I225" i="1"/>
  <c r="I223" i="1"/>
  <c r="I215" i="1"/>
  <c r="I233" i="1"/>
  <c r="I241" i="1"/>
  <c r="I243" i="1"/>
  <c r="I207" i="1"/>
  <c r="I202" i="1"/>
  <c r="I197" i="1"/>
  <c r="H204" i="1"/>
  <c r="H222" i="1"/>
  <c r="H240" i="1"/>
  <c r="H242" i="1"/>
  <c r="H224" i="1"/>
  <c r="H206" i="1"/>
  <c r="H207" i="1"/>
  <c r="H225" i="1"/>
  <c r="H243" i="1"/>
  <c r="H245" i="1"/>
  <c r="H227" i="1"/>
  <c r="H209" i="1"/>
  <c r="H241" i="1"/>
  <c r="H223" i="1"/>
  <c r="H238" i="1"/>
  <c r="H220" i="1"/>
  <c r="H235" i="1"/>
  <c r="G360" i="1" l="1"/>
  <c r="G472" i="1"/>
  <c r="G468" i="1"/>
  <c r="K263" i="1"/>
  <c r="G179" i="1"/>
  <c r="K222" i="1" l="1"/>
  <c r="K204" i="1"/>
  <c r="K234" i="1"/>
  <c r="K216" i="1"/>
  <c r="K198" i="1"/>
  <c r="K239" i="1"/>
  <c r="K238" i="1"/>
  <c r="K221" i="1"/>
  <c r="K220" i="1"/>
  <c r="K218" i="1"/>
  <c r="K224" i="1"/>
  <c r="K242" i="1"/>
  <c r="K206" i="1"/>
  <c r="K260" i="1"/>
  <c r="K261" i="1"/>
  <c r="K205" i="1"/>
  <c r="J239" i="1"/>
  <c r="J221" i="1"/>
  <c r="J203" i="1"/>
  <c r="J222" i="1"/>
  <c r="J240" i="1"/>
  <c r="J204" i="1"/>
  <c r="J224" i="1"/>
  <c r="J242" i="1"/>
  <c r="J206" i="1"/>
  <c r="J243" i="1"/>
  <c r="J241" i="1"/>
  <c r="J236" i="1"/>
  <c r="J234" i="1"/>
  <c r="J225" i="1"/>
  <c r="J223" i="1"/>
  <c r="J218" i="1"/>
  <c r="J207" i="1"/>
  <c r="J209" i="1"/>
  <c r="J205" i="1"/>
  <c r="J202" i="1"/>
  <c r="J198" i="1"/>
  <c r="I224" i="1"/>
  <c r="I242" i="1"/>
  <c r="I206" i="1"/>
  <c r="I239" i="1"/>
  <c r="I222" i="1"/>
  <c r="I240" i="1"/>
  <c r="I204" i="1"/>
  <c r="I221" i="1"/>
  <c r="I203" i="1"/>
  <c r="I245" i="1"/>
  <c r="I238" i="1"/>
  <c r="I236" i="1"/>
  <c r="I234" i="1"/>
  <c r="I227" i="1"/>
  <c r="I220" i="1"/>
  <c r="I218" i="1"/>
  <c r="I216" i="1"/>
  <c r="I209" i="1"/>
  <c r="I205" i="1"/>
  <c r="I198" i="1"/>
  <c r="H202" i="1" l="1"/>
  <c r="H244" i="1"/>
  <c r="H239" i="1"/>
  <c r="H236" i="1"/>
  <c r="H234" i="1"/>
  <c r="H233" i="1"/>
  <c r="H226" i="1"/>
  <c r="H221" i="1"/>
  <c r="H218" i="1"/>
  <c r="H216" i="1"/>
  <c r="H215" i="1"/>
  <c r="H208" i="1"/>
  <c r="H205" i="1"/>
  <c r="H203" i="1"/>
  <c r="H198" i="1"/>
  <c r="H197" i="1"/>
  <c r="G197" i="1"/>
  <c r="G198" i="1"/>
  <c r="G227" i="1"/>
  <c r="G245" i="1"/>
  <c r="G243" i="1"/>
  <c r="G242" i="1"/>
  <c r="G241" i="1"/>
  <c r="G240" i="1"/>
  <c r="G238" i="1"/>
  <c r="G236" i="1"/>
  <c r="G234" i="1"/>
  <c r="G225" i="1"/>
  <c r="G223" i="1"/>
  <c r="G224" i="1"/>
  <c r="G222" i="1"/>
  <c r="G202" i="1"/>
  <c r="G220" i="1"/>
  <c r="G218" i="1"/>
  <c r="G216" i="1"/>
  <c r="G209" i="1"/>
  <c r="G207" i="1"/>
  <c r="G206" i="1"/>
  <c r="G205" i="1"/>
  <c r="G204" i="1"/>
  <c r="G200" i="1"/>
  <c r="F203" i="1"/>
  <c r="F239" i="1"/>
  <c r="F236" i="1"/>
  <c r="F234" i="1"/>
  <c r="F233" i="1"/>
  <c r="F227" i="1"/>
  <c r="F221" i="1"/>
  <c r="F218" i="1"/>
  <c r="F216" i="1"/>
  <c r="F215" i="1"/>
  <c r="F200" i="1"/>
  <c r="F198" i="1"/>
  <c r="F197" i="1"/>
  <c r="F128" i="1"/>
  <c r="F126" i="1"/>
  <c r="F123" i="1"/>
  <c r="F120" i="1"/>
  <c r="F118" i="1"/>
  <c r="F117" i="1"/>
  <c r="F63" i="1"/>
  <c r="G14" i="1" l="1"/>
  <c r="G48" i="1"/>
  <c r="H368" i="1"/>
  <c r="G368" i="1"/>
  <c r="F368" i="1"/>
  <c r="F367" i="1"/>
  <c r="J359" i="1"/>
  <c r="J360" i="1"/>
  <c r="H359" i="1"/>
  <c r="I359" i="1"/>
  <c r="K359" i="1"/>
  <c r="I360" i="1"/>
  <c r="H360" i="1"/>
  <c r="K360" i="1"/>
  <c r="I358" i="1"/>
  <c r="H358" i="1"/>
  <c r="J358" i="1"/>
  <c r="K358" i="1"/>
  <c r="F358" i="1"/>
  <c r="G158" i="1"/>
  <c r="G132" i="1"/>
  <c r="G97" i="1"/>
  <c r="G9" i="1"/>
  <c r="H22" i="1" l="1"/>
  <c r="H13" i="1"/>
  <c r="I288" i="1" l="1"/>
  <c r="I282" i="1"/>
  <c r="I281" i="1"/>
  <c r="I279" i="1"/>
  <c r="I317" i="1"/>
  <c r="I276" i="1"/>
  <c r="I314" i="1"/>
  <c r="I295" i="1"/>
  <c r="H320" i="1"/>
  <c r="H301" i="1"/>
  <c r="H282" i="1"/>
  <c r="H319" i="1"/>
  <c r="H300" i="1"/>
  <c r="H281" i="1"/>
  <c r="G320" i="1"/>
  <c r="G301" i="1"/>
  <c r="G282" i="1"/>
  <c r="F301" i="1"/>
  <c r="F282" i="1"/>
  <c r="F276" i="1"/>
  <c r="H159" i="1"/>
  <c r="H155" i="1"/>
  <c r="H154" i="1"/>
  <c r="H150" i="1"/>
  <c r="H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8" i="1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21" i="10"/>
  <c r="L250" i="1"/>
  <c r="L332" i="1"/>
  <c r="L254" i="1"/>
  <c r="C25" i="10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20" i="2"/>
  <c r="E121" i="2"/>
  <c r="E122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F461" i="1" s="1"/>
  <c r="H639" i="1" s="1"/>
  <c r="J639" i="1" s="1"/>
  <c r="G452" i="1"/>
  <c r="H452" i="1"/>
  <c r="I452" i="1"/>
  <c r="F460" i="1"/>
  <c r="G460" i="1"/>
  <c r="H460" i="1"/>
  <c r="I460" i="1"/>
  <c r="G461" i="1"/>
  <c r="H461" i="1"/>
  <c r="I461" i="1"/>
  <c r="H642" i="1" s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G643" i="1"/>
  <c r="H643" i="1"/>
  <c r="G644" i="1"/>
  <c r="H644" i="1"/>
  <c r="H645" i="1"/>
  <c r="G650" i="1"/>
  <c r="G651" i="1"/>
  <c r="G652" i="1"/>
  <c r="H652" i="1"/>
  <c r="G653" i="1"/>
  <c r="H653" i="1"/>
  <c r="G654" i="1"/>
  <c r="H654" i="1"/>
  <c r="H655" i="1"/>
  <c r="J655" i="1" s="1"/>
  <c r="L256" i="1"/>
  <c r="C26" i="10"/>
  <c r="L351" i="1"/>
  <c r="A31" i="12"/>
  <c r="D18" i="13"/>
  <c r="C18" i="13" s="1"/>
  <c r="D50" i="2"/>
  <c r="F18" i="2"/>
  <c r="D91" i="2"/>
  <c r="D19" i="13"/>
  <c r="C19" i="13" s="1"/>
  <c r="E78" i="2"/>
  <c r="E81" i="2" s="1"/>
  <c r="H112" i="1"/>
  <c r="J641" i="1"/>
  <c r="J571" i="1"/>
  <c r="K571" i="1"/>
  <c r="L433" i="1"/>
  <c r="L419" i="1"/>
  <c r="D81" i="2"/>
  <c r="I169" i="1"/>
  <c r="H169" i="1"/>
  <c r="J644" i="1"/>
  <c r="J643" i="1"/>
  <c r="H476" i="1"/>
  <c r="H624" i="1" s="1"/>
  <c r="J624" i="1" s="1"/>
  <c r="I476" i="1"/>
  <c r="H625" i="1" s="1"/>
  <c r="G338" i="1"/>
  <c r="G352" i="1" s="1"/>
  <c r="J140" i="1"/>
  <c r="F571" i="1"/>
  <c r="G22" i="2"/>
  <c r="C29" i="10"/>
  <c r="H140" i="1"/>
  <c r="L393" i="1"/>
  <c r="A13" i="12"/>
  <c r="F22" i="13"/>
  <c r="J640" i="1"/>
  <c r="H571" i="1"/>
  <c r="L560" i="1"/>
  <c r="H192" i="1"/>
  <c r="C35" i="10"/>
  <c r="L570" i="1"/>
  <c r="I571" i="1"/>
  <c r="G36" i="2"/>
  <c r="L565" i="1"/>
  <c r="C22" i="13"/>
  <c r="C138" i="2"/>
  <c r="A40" i="12" l="1"/>
  <c r="L614" i="1"/>
  <c r="K598" i="1"/>
  <c r="G647" i="1" s="1"/>
  <c r="J651" i="1"/>
  <c r="G164" i="2"/>
  <c r="K503" i="1"/>
  <c r="K500" i="1"/>
  <c r="G161" i="2"/>
  <c r="G157" i="2"/>
  <c r="G156" i="2"/>
  <c r="K545" i="1"/>
  <c r="G545" i="1"/>
  <c r="H552" i="1"/>
  <c r="K551" i="1"/>
  <c r="L534" i="1"/>
  <c r="I552" i="1"/>
  <c r="L539" i="1"/>
  <c r="K549" i="1"/>
  <c r="J552" i="1"/>
  <c r="K550" i="1"/>
  <c r="L544" i="1"/>
  <c r="L529" i="1"/>
  <c r="H545" i="1"/>
  <c r="F552" i="1"/>
  <c r="L524" i="1"/>
  <c r="I52" i="1"/>
  <c r="H620" i="1" s="1"/>
  <c r="J620" i="1" s="1"/>
  <c r="G645" i="1"/>
  <c r="J645" i="1" s="1"/>
  <c r="J476" i="1"/>
  <c r="H626" i="1" s="1"/>
  <c r="F476" i="1"/>
  <c r="H622" i="1" s="1"/>
  <c r="J257" i="1"/>
  <c r="J271" i="1" s="1"/>
  <c r="F661" i="1"/>
  <c r="K257" i="1"/>
  <c r="K271" i="1" s="1"/>
  <c r="C32" i="10"/>
  <c r="H25" i="13"/>
  <c r="C25" i="13" s="1"/>
  <c r="E16" i="13"/>
  <c r="C16" i="13" s="1"/>
  <c r="D7" i="13"/>
  <c r="C7" i="13" s="1"/>
  <c r="I257" i="1"/>
  <c r="I271" i="1" s="1"/>
  <c r="C20" i="10"/>
  <c r="H257" i="1"/>
  <c r="H271" i="1" s="1"/>
  <c r="G649" i="1"/>
  <c r="J649" i="1" s="1"/>
  <c r="F662" i="1"/>
  <c r="I662" i="1" s="1"/>
  <c r="D15" i="13"/>
  <c r="C15" i="13" s="1"/>
  <c r="H647" i="1"/>
  <c r="J647" i="1" s="1"/>
  <c r="C123" i="2"/>
  <c r="C125" i="2"/>
  <c r="C119" i="2"/>
  <c r="C13" i="10"/>
  <c r="C120" i="2"/>
  <c r="G257" i="1"/>
  <c r="G271" i="1" s="1"/>
  <c r="C11" i="10"/>
  <c r="C18" i="10"/>
  <c r="L247" i="1"/>
  <c r="H660" i="1" s="1"/>
  <c r="C109" i="2"/>
  <c r="E8" i="13"/>
  <c r="C8" i="13" s="1"/>
  <c r="D12" i="13"/>
  <c r="C12" i="13" s="1"/>
  <c r="L229" i="1"/>
  <c r="G660" i="1" s="1"/>
  <c r="C121" i="2"/>
  <c r="E13" i="13"/>
  <c r="C13" i="13" s="1"/>
  <c r="C17" i="10"/>
  <c r="C118" i="2"/>
  <c r="F257" i="1"/>
  <c r="F271" i="1" s="1"/>
  <c r="C110" i="2"/>
  <c r="D6" i="13"/>
  <c r="C6" i="13" s="1"/>
  <c r="C122" i="2"/>
  <c r="C19" i="10"/>
  <c r="D14" i="13"/>
  <c r="C14" i="13" s="1"/>
  <c r="L211" i="1"/>
  <c r="D5" i="13"/>
  <c r="C5" i="13" s="1"/>
  <c r="J622" i="1"/>
  <c r="J617" i="1"/>
  <c r="C18" i="2"/>
  <c r="C78" i="2"/>
  <c r="C81" i="2" s="1"/>
  <c r="F112" i="1"/>
  <c r="J634" i="1"/>
  <c r="L362" i="1"/>
  <c r="C27" i="10" s="1"/>
  <c r="G661" i="1"/>
  <c r="D127" i="2"/>
  <c r="D128" i="2" s="1"/>
  <c r="D145" i="2" s="1"/>
  <c r="H661" i="1"/>
  <c r="D29" i="13"/>
  <c r="C29" i="13" s="1"/>
  <c r="D31" i="2"/>
  <c r="D18" i="2"/>
  <c r="H52" i="1"/>
  <c r="H619" i="1" s="1"/>
  <c r="J619" i="1" s="1"/>
  <c r="C10" i="10"/>
  <c r="H338" i="1"/>
  <c r="H352" i="1" s="1"/>
  <c r="K338" i="1"/>
  <c r="K352" i="1" s="1"/>
  <c r="H33" i="13"/>
  <c r="C62" i="2"/>
  <c r="C63" i="2" s="1"/>
  <c r="E62" i="2"/>
  <c r="E63" i="2" s="1"/>
  <c r="C15" i="10"/>
  <c r="E118" i="2"/>
  <c r="C16" i="10"/>
  <c r="F338" i="1"/>
  <c r="F352" i="1" s="1"/>
  <c r="L290" i="1"/>
  <c r="E119" i="2"/>
  <c r="E109" i="2"/>
  <c r="E115" i="2" s="1"/>
  <c r="J636" i="1"/>
  <c r="G625" i="1"/>
  <c r="J625" i="1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D103" i="2"/>
  <c r="D104" i="2" s="1"/>
  <c r="I140" i="1"/>
  <c r="A22" i="12"/>
  <c r="G50" i="2"/>
  <c r="G51" i="2" s="1"/>
  <c r="J652" i="1"/>
  <c r="J642" i="1"/>
  <c r="G571" i="1"/>
  <c r="I434" i="1"/>
  <c r="G434" i="1"/>
  <c r="E104" i="2"/>
  <c r="I663" i="1"/>
  <c r="L545" i="1" l="1"/>
  <c r="K552" i="1"/>
  <c r="H646" i="1"/>
  <c r="H648" i="1"/>
  <c r="J648" i="1" s="1"/>
  <c r="C115" i="2"/>
  <c r="E33" i="13"/>
  <c r="D35" i="13" s="1"/>
  <c r="L257" i="1"/>
  <c r="L271" i="1" s="1"/>
  <c r="G632" i="1" s="1"/>
  <c r="J632" i="1" s="1"/>
  <c r="C128" i="2"/>
  <c r="F660" i="1"/>
  <c r="F664" i="1" s="1"/>
  <c r="F672" i="1" s="1"/>
  <c r="C4" i="10" s="1"/>
  <c r="F193" i="1"/>
  <c r="G627" i="1" s="1"/>
  <c r="J627" i="1" s="1"/>
  <c r="G635" i="1"/>
  <c r="J635" i="1" s="1"/>
  <c r="H664" i="1"/>
  <c r="H667" i="1" s="1"/>
  <c r="G664" i="1"/>
  <c r="G667" i="1" s="1"/>
  <c r="I661" i="1"/>
  <c r="C28" i="10"/>
  <c r="D24" i="10" s="1"/>
  <c r="C104" i="2"/>
  <c r="E128" i="2"/>
  <c r="E145" i="2" s="1"/>
  <c r="D31" i="13"/>
  <c r="C31" i="13" s="1"/>
  <c r="L338" i="1"/>
  <c r="L352" i="1" s="1"/>
  <c r="G633" i="1" s="1"/>
  <c r="J633" i="1" s="1"/>
  <c r="I193" i="1"/>
  <c r="G630" i="1" s="1"/>
  <c r="J630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F667" i="1"/>
  <c r="H672" i="1"/>
  <c r="C6" i="10" s="1"/>
  <c r="G672" i="1"/>
  <c r="C5" i="10" s="1"/>
  <c r="D10" i="10"/>
  <c r="D23" i="10"/>
  <c r="D26" i="10"/>
  <c r="C30" i="10"/>
  <c r="D16" i="10"/>
  <c r="D15" i="10"/>
  <c r="D19" i="10"/>
  <c r="D22" i="10"/>
  <c r="D20" i="10"/>
  <c r="D25" i="10"/>
  <c r="D13" i="10"/>
  <c r="D11" i="10"/>
  <c r="D21" i="10"/>
  <c r="D27" i="10"/>
  <c r="D18" i="10"/>
  <c r="D17" i="10"/>
  <c r="D12" i="10"/>
  <c r="D33" i="13"/>
  <c r="D36" i="13" s="1"/>
  <c r="H656" i="1"/>
  <c r="C41" i="10"/>
  <c r="D38" i="10" s="1"/>
  <c r="I672" i="1" l="1"/>
  <c r="C7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<sst xmlns="http://schemas.openxmlformats.org/spreadsheetml/2006/main" count="3961" uniqueCount="919">
  <si>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</si>
  <si>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</si>
  <si>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</si>
  <si>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</si>
  <si>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</si>
  <si>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</si>
  <si>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</si>
  <si>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</si>
  <si>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</si>
  <si>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</si>
  <si>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</si>
  <si>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</si>
  <si>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</si>
  <si>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</si>
  <si>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</si>
  <si>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</si>
  <si>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</si>
  <si>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</si>
  <si>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</si>
  <si>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</si>
  <si>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</si>
  <si>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</si>
  <si>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</si>
  <si>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</si>
  <si>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</si>
  <si>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</si>
  <si>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</si>
  <si>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</si>
  <si>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</si>
  <si>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</si>
  <si>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</si>
  <si>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</si>
  <si>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</si>
  <si>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</si>
  <si>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</si>
  <si>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</si>
  <si>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</si>
  <si>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</si>
  <si>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</si>
  <si>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</si>
  <si>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</si>
  <si>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</si>
  <si>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</si>
  <si>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</si>
  <si>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</si>
  <si>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</si>
  <si>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</si>
  <si>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</si>
  <si>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</si>
  <si>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</si>
  <si>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</si>
  <si>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</si>
  <si>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</si>
  <si>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</si>
  <si>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</si>
  <si>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</si>
  <si>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</si>
  <si>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</si>
  <si>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</si>
  <si>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</si>
  <si>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</si>
  <si>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</si>
  <si>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</si>
  <si>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</si>
  <si>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</si>
  <si>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</si>
  <si>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</si>
  <si>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</si>
  <si>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</si>
  <si>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</si>
  <si>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</si>
  <si>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</si>
  <si>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</si>
  <si>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</si>
  <si>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</si>
  <si>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</si>
  <si>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</si>
  <si>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</si>
  <si>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</si>
  <si>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</si>
  <si>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</si>
  <si>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</si>
  <si>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</si>
  <si>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</si>
  <si>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</si>
  <si>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</si>
  <si>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</si>
  <si>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</si>
  <si>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</si>
  <si>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</si>
  <si>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</si>
  <si>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</si>
  <si>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</si>
  <si>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</si>
  <si>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</si>
  <si>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</si>
  <si>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</si>
  <si>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</si>
  <si>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</si>
  <si>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</si>
  <si>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</si>
  <si>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</si>
  <si>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</si>
  <si>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</si>
  <si>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</si>
  <si>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</si>
  <si>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</si>
  <si>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</si>
  <si>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</si>
  <si>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</si>
  <si>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</si>
  <si>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</si>
  <si>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</si>
  <si>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</si>
  <si>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</si>
  <si>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</si>
  <si>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</si>
  <si>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</si>
  <si>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</si>
  <si>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</si>
  <si>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</si>
  <si>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</si>
  <si>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</si>
  <si>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</si>
  <si>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</si>
  <si>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</si>
  <si>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</si>
  <si>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</si>
  <si>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</si>
  <si>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</si>
  <si>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</si>
  <si>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</si>
  <si>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</si>
  <si>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</si>
  <si>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</si>
  <si>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</si>
  <si>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</si>
  <si>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</si>
  <si>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</si>
  <si>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</si>
  <si>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</si>
  <si>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</si>
  <si>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</si>
  <si>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</si>
  <si>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</si>
  <si>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</si>
  <si>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</si>
  <si>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</si>
  <si>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</si>
  <si>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</si>
  <si>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</si>
  <si>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</si>
  <si>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</si>
  <si>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</si>
  <si>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</si>
  <si>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</si>
  <si>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</si>
  <si>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</si>
  <si>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</si>
  <si>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</si>
  <si>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</si>
  <si>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</si>
  <si>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</si>
  <si>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</si>
  <si>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</si>
  <si>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</si>
  <si>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</si>
  <si>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</si>
  <si>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</si>
  <si>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</si>
  <si>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</si>
  <si>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</si>
  <si>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</si>
  <si>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</si>
  <si>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</si>
  <si>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</si>
  <si>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</si>
  <si>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</si>
  <si>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</si>
  <si>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</si>
  <si>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</si>
  <si>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</si>
  <si>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</si>
  <si>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</si>
  <si>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</si>
  <si>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</si>
  <si>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</si>
  <si>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</si>
  <si>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</si>
  <si>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</si>
  <si>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</si>
  <si>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</si>
  <si>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</si>
  <si>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</si>
  <si>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</si>
  <si>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</si>
  <si>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</si>
  <si>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</si>
  <si>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</si>
  <si>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</si>
  <si>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</si>
  <si>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</si>
  <si>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</si>
  <si>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</si>
  <si>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</si>
  <si>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</si>
  <si>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</si>
  <si>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</si>
  <si>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</si>
  <si>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</si>
  <si>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</si>
  <si>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</si>
  <si>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</si>
  <si>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</si>
  <si>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</si>
  <si>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</si>
  <si>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</si>
  <si>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</si>
  <si>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</si>
  <si>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</si>
  <si>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</si>
  <si>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</si>
  <si>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</si>
  <si>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</si>
  <si>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</si>
  <si>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</si>
  <si>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</si>
  <si>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</si>
  <si>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</si>
  <si>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</si>
  <si>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</si>
  <si>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</si>
  <si>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</si>
  <si>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</si>
  <si>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</si>
  <si>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</si>
  <si>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</si>
  <si>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</si>
  <si>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</si>
  <si>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</si>
  <si>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</si>
  <si>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</si>
  <si>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</si>
  <si>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</si>
  <si>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</si>
  <si>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</si>
  <si>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</si>
  <si>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</si>
  <si>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</si>
  <si>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</si>
  <si>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</si>
  <si>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</si>
  <si>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</si>
  <si>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</si>
  <si>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</si>
  <si>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</si>
  <si>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</si>
  <si>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</si>
  <si>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</si>
  <si>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</si>
  <si>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</si>
  <si>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</si>
  <si>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</si>
  <si>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</si>
  <si>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</si>
  <si>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</si>
  <si>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</si>
  <si>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</si>
  <si>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</si>
  <si>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</si>
  <si>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</si>
  <si>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</si>
  <si>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</si>
  <si>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</si>
  <si>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</si>
  <si>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</si>
  <si>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</si>
  <si>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</si>
  <si>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</si>
  <si>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</si>
  <si>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</si>
  <si>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</si>
  <si>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</si>
  <si>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</si>
  <si>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</si>
  <si>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</si>
  <si>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</si>
  <si>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</si>
  <si>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</si>
  <si>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</si>
  <si>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</si>
  <si>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</si>
  <si>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</si>
  <si>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</si>
  <si>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</si>
  <si>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</si>
  <si>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</si>
  <si>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</si>
  <si>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</si>
  <si>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</si>
  <si>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</si>
  <si>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</si>
  <si>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</si>
  <si>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</si>
  <si>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</si>
  <si>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</si>
  <si>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</si>
  <si>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</si>
  <si>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</si>
  <si>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</si>
  <si>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</si>
  <si>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</si>
  <si>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</si>
  <si>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</si>
  <si>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</si>
  <si>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</si>
  <si>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</si>
  <si>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</si>
  <si>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</si>
  <si>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</si>
  <si>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</si>
  <si>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</si>
  <si>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</si>
  <si>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</si>
  <si>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</si>
  <si>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</si>
  <si>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</si>
  <si>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</si>
  <si>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</si>
  <si>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</si>
  <si>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</si>
  <si>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</si>
  <si>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</si>
  <si>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</si>
  <si>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</si>
  <si>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</si>
  <si>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</si>
  <si>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</si>
  <si>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</si>
  <si>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</si>
  <si>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</si>
  <si>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</si>
  <si>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</si>
  <si>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</si>
  <si>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</si>
  <si>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</si>
  <si>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</si>
  <si>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</si>
  <si>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</si>
  <si>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</si>
  <si>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</si>
  <si>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</si>
  <si>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</si>
  <si>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</si>
  <si>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</si>
  <si>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</si>
  <si>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</si>
  <si>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</si>
  <si>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</si>
  <si>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</si>
  <si>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</si>
  <si>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</si>
  <si>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</si>
  <si>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</si>
  <si>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</si>
  <si>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</si>
  <si>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</si>
  <si>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</si>
  <si>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</si>
  <si>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</si>
  <si>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</si>
  <si>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</si>
  <si>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</si>
  <si>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</si>
  <si>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</si>
  <si>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</si>
  <si>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</si>
  <si>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</si>
  <si>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</si>
  <si>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</si>
  <si>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</si>
  <si>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</si>
  <si>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</si>
  <si>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</si>
  <si>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</si>
  <si>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</si>
  <si>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</si>
  <si>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</si>
  <si>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</si>
  <si>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</si>
  <si>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</si>
  <si>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</si>
  <si>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</si>
  <si>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</si>
  <si>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</si>
  <si>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</si>
  <si>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</si>
  <si>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</si>
  <si>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</si>
  <si>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</si>
  <si>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</si>
  <si>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</si>
  <si>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</si>
  <si>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</si>
  <si>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</si>
  <si>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</si>
  <si>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</si>
  <si>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</si>
  <si>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</si>
  <si>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</si>
  <si>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</si>
  <si>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</si>
  <si>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</si>
  <si>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</si>
  <si>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</si>
  <si>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</si>
  <si>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</si>
  <si>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</si>
  <si>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</si>
  <si>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</si>
  <si>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</si>
  <si>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</si>
  <si>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</si>
  <si>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</si>
  <si>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</si>
  <si>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</si>
  <si>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</si>
  <si>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</si>
  <si>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</si>
  <si>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</si>
  <si>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</si>
  <si>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</si>
  <si>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</si>
  <si>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</si>
  <si>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</si>
  <si>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</si>
  <si>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</si>
  <si>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</si>
  <si>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</si>
  <si>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</si>
  <si>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</si>
  <si>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</si>
  <si>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</si>
  <si>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</si>
  <si>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</si>
  <si>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</si>
  <si>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</si>
  <si>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</si>
  <si>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</si>
  <si>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</si>
  <si>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</si>
  <si>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</si>
  <si>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</si>
  <si>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</si>
  <si>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</si>
  <si>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</si>
  <si>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</si>
  <si>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</si>
  <si>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</si>
  <si>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</si>
  <si>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</si>
  <si>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</si>
  <si>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</si>
  <si>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</si>
  <si>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</si>
  <si>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</si>
  <si>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</si>
  <si>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</si>
  <si>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</si>
  <si>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</si>
  <si>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</si>
  <si>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</si>
  <si>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</si>
  <si>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</si>
  <si>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</si>
  <si>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</si>
  <si>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</si>
  <si>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</si>
  <si>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</si>
  <si>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</si>
  <si>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</si>
  <si>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</si>
  <si>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</si>
  <si>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</si>
  <si>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</si>
  <si>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</si>
  <si>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</si>
  <si>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</si>
  <si>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</si>
  <si>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</si>
  <si>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</si>
  <si>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</si>
  <si>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</si>
  <si>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</si>
  <si>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</si>
  <si>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</si>
  <si>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</si>
  <si>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</si>
  <si>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</si>
  <si>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</si>
  <si>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</si>
  <si>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</si>
  <si>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</si>
  <si>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</si>
  <si>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</si>
  <si>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</si>
  <si>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</si>
  <si>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</si>
  <si>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</si>
  <si>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</si>
  <si>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</si>
  <si>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</si>
  <si>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</si>
  <si>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</si>
  <si>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</si>
  <si>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</si>
  <si>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</si>
  <si>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</si>
  <si>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</si>
  <si>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</si>
  <si>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</si>
  <si>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</si>
  <si>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</si>
  <si>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</si>
  <si>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</si>
  <si>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</si>
  <si>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</si>
  <si>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</si>
  <si>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</si>
  <si>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</si>
  <si>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</si>
  <si>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</si>
  <si>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</si>
  <si>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</si>
  <si>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</si>
  <si>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</si>
  <si>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</si>
  <si>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</si>
  <si>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</si>
  <si>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</si>
  <si>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</si>
  <si>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</si>
  <si>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</si>
  <si>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</si>
  <si>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</si>
  <si>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</si>
  <si>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</si>
  <si>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</si>
  <si>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</si>
  <si>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</si>
  <si>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</si>
  <si>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</si>
  <si>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</si>
  <si>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</si>
  <si>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</si>
  <si>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</si>
  <si>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</si>
  <si>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</si>
  <si>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</si>
  <si>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</si>
  <si>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</si>
  <si>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</si>
  <si>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</si>
  <si>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</si>
  <si>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</si>
  <si>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</si>
  <si>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</si>
  <si>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</si>
  <si>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</si>
  <si>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</si>
  <si>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</si>
  <si>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</si>
  <si>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</si>
  <si>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</si>
  <si>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</si>
  <si>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</si>
  <si>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</si>
  <si>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</si>
  <si>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</si>
  <si>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</si>
  <si>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</si>
  <si>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</si>
  <si>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</si>
  <si>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</si>
  <si>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</si>
  <si>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</si>
  <si>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</si>
  <si>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</si>
  <si>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</si>
  <si>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</si>
  <si>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</si>
  <si>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</si>
  <si>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</si>
  <si>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</si>
  <si>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</si>
  <si>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</si>
  <si>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</si>
  <si>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</si>
  <si>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</si>
  <si>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</si>
  <si>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</si>
  <si>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</si>
  <si>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</si>
  <si>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</si>
  <si>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</si>
  <si>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</si>
  <si>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</si>
  <si>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</si>
  <si>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</si>
  <si>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</si>
  <si>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</si>
  <si>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</si>
  <si>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</si>
  <si>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</si>
  <si>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</si>
  <si>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</si>
  <si>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</si>
  <si>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</si>
  <si>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</si>
  <si>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</si>
  <si>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</si>
  <si>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</si>
  <si>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</si>
  <si>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</si>
  <si>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</si>
  <si>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</si>
  <si>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</si>
  <si>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</si>
  <si>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</si>
  <si>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</si>
  <si>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</si>
  <si>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</si>
  <si>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</si>
  <si>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</si>
  <si>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</si>
  <si>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</si>
  <si>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</si>
  <si>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</si>
  <si>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</si>
  <si>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</si>
  <si>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</si>
  <si>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</si>
  <si>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</si>
  <si>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</si>
  <si>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</si>
  <si>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</si>
  <si>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</si>
  <si>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</si>
  <si>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</si>
  <si>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</si>
  <si>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</si>
  <si>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</si>
  <si>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</si>
  <si>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</si>
  <si>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</si>
  <si>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</si>
  <si>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</si>
  <si>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</si>
  <si>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</si>
  <si>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</si>
  <si>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</si>
  <si>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</si>
  <si>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</si>
  <si>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</si>
  <si>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</si>
  <si>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</si>
  <si>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</si>
  <si>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</si>
  <si>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</si>
  <si>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</si>
  <si>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</si>
  <si>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</si>
  <si>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</si>
  <si>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</si>
  <si>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</si>
  <si>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</si>
  <si>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</si>
  <si>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</si>
  <si>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</si>
  <si>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</si>
  <si>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</si>
  <si>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</si>
  <si>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</si>
  <si>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</si>
  <si>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</si>
  <si>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</si>
  <si>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</si>
  <si>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</si>
  <si>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</si>
  <si>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</si>
  <si>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</si>
  <si>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</si>
  <si>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</si>
  <si>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</si>
  <si>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</si>
  <si>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</si>
  <si>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</si>
  <si>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</si>
  <si>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</si>
  <si>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</si>
  <si>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</si>
  <si>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</si>
  <si>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</si>
  <si>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</si>
  <si>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</si>
  <si>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</si>
  <si>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</si>
  <si>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</si>
  <si>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</si>
  <si>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</si>
  <si>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</si>
  <si>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</si>
  <si>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</si>
  <si>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</si>
  <si>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</si>
  <si>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</si>
  <si>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</si>
  <si>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</si>
  <si>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</si>
  <si>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</si>
  <si>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</si>
  <si>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</si>
  <si>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</si>
  <si>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</si>
  <si>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</si>
  <si>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</si>
  <si>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</si>
  <si>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</si>
  <si>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</si>
  <si>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</si>
  <si>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</si>
  <si>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</si>
  <si>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</si>
  <si>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</si>
  <si>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</si>
  <si>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</si>
  <si>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</si>
  <si>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</si>
  <si>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</si>
  <si>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</si>
  <si>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</si>
  <si>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</si>
  <si>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</si>
  <si>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</si>
  <si>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</si>
  <si>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</si>
  <si>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</si>
  <si>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</si>
  <si>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</si>
  <si>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</si>
  <si>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</si>
  <si>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</si>
  <si>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</si>
  <si>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</si>
  <si>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</si>
  <si>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</si>
  <si>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</si>
  <si>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</si>
  <si>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</si>
  <si>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</si>
  <si>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</si>
  <si>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</si>
  <si>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</si>
  <si>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</si>
  <si>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</si>
  <si>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</si>
  <si>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</si>
  <si>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</si>
  <si>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</si>
  <si>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</si>
  <si>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</si>
  <si>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</si>
  <si>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</si>
  <si>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</si>
  <si>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</si>
  <si>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</si>
  <si>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</si>
  <si>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</si>
  <si>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</si>
  <si>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</si>
  <si>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</si>
  <si>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</si>
  <si>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</si>
  <si>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</si>
  <si>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</si>
  <si>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</si>
  <si>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</si>
  <si>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</si>
  <si>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</si>
  <si>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</si>
  <si>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</si>
  <si>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</si>
  <si>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</si>
  <si>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</si>
  <si>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</si>
  <si>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</si>
  <si>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</si>
  <si>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</si>
  <si>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</si>
  <si>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</si>
  <si>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</si>
  <si>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</si>
  <si>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</si>
  <si>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</si>
  <si>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</si>
  <si>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</si>
  <si>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</si>
  <si>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</si>
  <si>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</si>
  <si>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</si>
  <si>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</si>
  <si>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</si>
  <si>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</si>
  <si>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</si>
  <si>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</si>
  <si>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</si>
  <si>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</si>
  <si>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</si>
  <si>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</si>
  <si>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</si>
  <si>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</si>
  <si>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</si>
  <si>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</si>
  <si>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</si>
  <si>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</si>
  <si>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</si>
  <si>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</si>
  <si>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</si>
  <si>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</si>
  <si>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</si>
  <si>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</si>
  <si>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</si>
  <si>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</si>
  <si>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</si>
  <si>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</si>
  <si>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</si>
  <si>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</si>
  <si>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</si>
  <si>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</si>
  <si>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</si>
  <si>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</si>
  <si>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</si>
  <si>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</si>
  <si>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</si>
  <si>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</si>
  <si>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</si>
  <si>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</si>
  <si>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</si>
  <si>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</si>
  <si>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</si>
  <si>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</si>
  <si>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</si>
  <si>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</si>
  <si>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</si>
  <si>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</si>
  <si>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</si>
  <si>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</si>
  <si>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</si>
  <si>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</si>
  <si>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</si>
  <si>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</si>
  <si>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</si>
  <si>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</si>
  <si>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</si>
  <si>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</si>
  <si>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</si>
  <si>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</si>
  <si>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</si>
  <si>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</si>
  <si>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</si>
  <si>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</si>
  <si>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</si>
  <si>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</si>
  <si>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</si>
  <si>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</si>
  <si>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</si>
  <si>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</si>
  <si>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</si>
  <si>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</si>
  <si>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</si>
  <si>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</si>
  <si>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</si>
  <si>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</si>
  <si>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</si>
  <si>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</si>
  <si>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</si>
  <si>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</si>
  <si>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</si>
  <si>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</si>
  <si>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</si>
  <si>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</si>
  <si>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</si>
  <si>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</si>
  <si>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</si>
  <si>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</si>
  <si>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</si>
  <si>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</si>
  <si>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</si>
  <si>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</si>
  <si>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</si>
  <si>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</si>
  <si>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</si>
  <si>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</si>
  <si>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</si>
  <si>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</si>
  <si>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</si>
  <si>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</si>
  <si>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</si>
  <si>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</si>
  <si>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</si>
  <si>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</si>
  <si>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</si>
  <si>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Wilton-Lyndeborough Cooperative SAU63</t>
  </si>
  <si>
    <t>prior year adjust for payables paid</t>
  </si>
  <si>
    <t>adjust for CR expense</t>
  </si>
  <si>
    <t>07/99</t>
  </si>
  <si>
    <t>08/19</t>
  </si>
  <si>
    <t>07/14</t>
  </si>
  <si>
    <t>08/34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</si>
</sst>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572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704647.19</v>
      </c>
      <c r="G9" s="18">
        <f>14999.6+164</f>
        <v>15163.6</v>
      </c>
      <c r="H9" s="18"/>
      <c r="I9" s="18">
        <v>0</v>
      </c>
      <c r="J9" s="67">
        <f>SUM(I439)</f>
        <v>378073.9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54548.1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28635.040000000001</v>
      </c>
      <c r="G13" s="18">
        <v>5329.92</v>
      </c>
      <c r="H13" s="18">
        <f>24694.08-2494.88</f>
        <v>22199.200000000001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11354.67</v>
      </c>
      <c r="G14" s="18">
        <f>6818.17-668.68</f>
        <v>6149.49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7608.72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15065.79</v>
      </c>
      <c r="G17" s="18">
        <v>2686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814250.79</v>
      </c>
      <c r="G19" s="41">
        <f>SUM(G9:G18)</f>
        <v>36937.730000000003</v>
      </c>
      <c r="H19" s="41">
        <f>SUM(H9:H18)</f>
        <v>22199.200000000001</v>
      </c>
      <c r="I19" s="41">
        <f>SUM(I9:I18)</f>
        <v>0</v>
      </c>
      <c r="J19" s="41">
        <f>SUM(J9:J18)</f>
        <v>378073.9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33527.480000000003</v>
      </c>
      <c r="H22" s="18">
        <f>23515.5-2494.88</f>
        <v>21020.62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f>38406</f>
        <v>38406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44067.82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2607.26+124896+14617.98+1335.65</f>
        <v>143456.88999999998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2832.01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225930.71</v>
      </c>
      <c r="G32" s="41">
        <f>SUM(G22:G31)</f>
        <v>36359.490000000005</v>
      </c>
      <c r="H32" s="41">
        <f>SUM(H22:H31)</f>
        <v>21020.62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7608.72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182889.2</v>
      </c>
      <c r="G43" s="18"/>
      <c r="H43" s="18"/>
      <c r="I43" s="18"/>
      <c r="J43" s="13">
        <f>SUM(I456)</f>
        <v>378073.9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f>-7619.22+588.74</f>
        <v>-7030.4800000000005</v>
      </c>
      <c r="H48" s="18">
        <v>1178.58</v>
      </c>
      <c r="I48" s="18">
        <v>0</v>
      </c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405430.88</f>
        <v>405430.88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588320.08000000007</v>
      </c>
      <c r="G51" s="41">
        <f>SUM(G35:G50)</f>
        <v>578.23999999999978</v>
      </c>
      <c r="H51" s="41">
        <f>SUM(H35:H50)</f>
        <v>1178.58</v>
      </c>
      <c r="I51" s="41">
        <f>SUM(I35:I50)</f>
        <v>0</v>
      </c>
      <c r="J51" s="41">
        <f>SUM(J35:J50)</f>
        <v>378073.9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814250.79</v>
      </c>
      <c r="G52" s="41">
        <f>G51+G32</f>
        <v>36937.730000000003</v>
      </c>
      <c r="H52" s="41">
        <f>H51+H32</f>
        <v>22199.199999999997</v>
      </c>
      <c r="I52" s="41">
        <f>I51+I32</f>
        <v>0</v>
      </c>
      <c r="J52" s="41">
        <f>J51+J32</f>
        <v>378073.9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8612541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8612541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11250+39869.58</f>
        <v>51119.58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51119.58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>
        <v>3655.01</v>
      </c>
      <c r="J96" s="18">
        <v>2995.36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95773.7+9580.3+453+2686.75+54.48+738.2</f>
        <v>109286.43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3740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25023.65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5028.03</v>
      </c>
      <c r="G110" s="18"/>
      <c r="H110" s="18">
        <f>813+655.55+578.42</f>
        <v>2046.9699999999998</v>
      </c>
      <c r="I110" s="18"/>
      <c r="J110" s="18">
        <v>-460.66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33791.68</v>
      </c>
      <c r="G111" s="41">
        <f>SUM(G96:G110)</f>
        <v>109286.43</v>
      </c>
      <c r="H111" s="41">
        <f>SUM(H96:H110)</f>
        <v>2046.9699999999998</v>
      </c>
      <c r="I111" s="41">
        <f>SUM(I96:I110)</f>
        <v>3655.01</v>
      </c>
      <c r="J111" s="41">
        <f>SUM(J96:J110)</f>
        <v>2534.7000000000003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8697452.2599999998</v>
      </c>
      <c r="G112" s="41">
        <f>G60+G111</f>
        <v>109286.43</v>
      </c>
      <c r="H112" s="41">
        <f>H60+H79+H94+H111</f>
        <v>2046.9699999999998</v>
      </c>
      <c r="I112" s="41">
        <f>I60+I111</f>
        <v>3655.01</v>
      </c>
      <c r="J112" s="41">
        <f>J60+J111</f>
        <v>2534.7000000000003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1337372.13</f>
        <v>1337372.1299999999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f>1202139</f>
        <v>1202139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f>1318.2</f>
        <v>1318.2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2540829.33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f>128000</f>
        <v>128000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f>157378.37</f>
        <v>157378.37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f>3077</f>
        <v>3077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2480.2+419.13</f>
        <v>2899.33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288455.37</v>
      </c>
      <c r="G136" s="41">
        <f>SUM(G123:G135)</f>
        <v>2899.33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2829284.7</v>
      </c>
      <c r="G140" s="41">
        <f>G121+SUM(G136:G137)</f>
        <v>2899.33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2494.88</f>
        <v>2494.88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750+92342.98</f>
        <v>93092.98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362.88+2682+25136.11</f>
        <v>28180.99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60599.18+18945.85+699.79</f>
        <v>80244.819999999992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125590.93+2424.1</f>
        <v>128015.03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108216.88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13763.21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108216.88</v>
      </c>
      <c r="G162" s="41">
        <f>SUM(G150:G161)</f>
        <v>94008.03</v>
      </c>
      <c r="H162" s="41">
        <f>SUM(H150:H161)</f>
        <v>251783.88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108216.88</v>
      </c>
      <c r="G169" s="41">
        <f>G147+G162+SUM(G163:G168)</f>
        <v>94008.03</v>
      </c>
      <c r="H169" s="41">
        <f>H147+H162+SUM(H163:H168)</f>
        <v>251783.88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f>15725.7+588.74-2049.31</f>
        <v>14265.130000000001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164109.06</v>
      </c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164109.06</v>
      </c>
      <c r="G183" s="41">
        <f>SUM(G179:G182)</f>
        <v>14265.130000000001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102762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102762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266871.06</v>
      </c>
      <c r="G192" s="41">
        <f>G183+SUM(G188:G191)</f>
        <v>14265.130000000001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11901824.900000002</v>
      </c>
      <c r="G193" s="47">
        <f>G112+G140+G169+G192</f>
        <v>220458.91999999998</v>
      </c>
      <c r="H193" s="47">
        <f>H112+H140+H169+H192</f>
        <v>253830.85</v>
      </c>
      <c r="I193" s="47">
        <f>I112+I140+I169+I192</f>
        <v>3655.01</v>
      </c>
      <c r="J193" s="47">
        <f>J112+J140+J192</f>
        <v>2534.7000000000003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954423.07+85275.17+10187.11+63673.93+45050.41+6000.06</f>
        <v>1164609.75</v>
      </c>
      <c r="G197" s="18">
        <f>541779.39+51379.72+1246.22+28663.64+3446.44+459.01</f>
        <v>626974.41999999993</v>
      </c>
      <c r="H197" s="18">
        <f>83.44+11214.46+79.32</f>
        <v>11377.22</v>
      </c>
      <c r="I197" s="18">
        <f>56814.43+15448.12+4898.67+1283.83-37.4</f>
        <v>78407.650000000009</v>
      </c>
      <c r="J197" s="18">
        <f>5863.77+36596.84+449.93+1836-494.99</f>
        <v>44251.55</v>
      </c>
      <c r="K197" s="18">
        <v>75</v>
      </c>
      <c r="L197" s="19">
        <f>SUM(F197:K197)</f>
        <v>1925695.5899999999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137009+59388+155745.47+31380.88+4641.2+1201.35+63.92</f>
        <v>389429.81999999995</v>
      </c>
      <c r="G198" s="18">
        <f>62570.01+22807.95+30806.87+12080.33+969.33+91.91+5.57</f>
        <v>129331.97000000002</v>
      </c>
      <c r="H198" s="18">
        <f>1025.35+26505.6+5301.12</f>
        <v>32832.07</v>
      </c>
      <c r="I198" s="18">
        <f>7234.42+2764.82+0.92+640</f>
        <v>10640.16</v>
      </c>
      <c r="J198" s="18">
        <f>1255.07+604.7</f>
        <v>1859.77</v>
      </c>
      <c r="K198" s="18">
        <f>(6876.83+273.17)*0.468</f>
        <v>3346.2000000000003</v>
      </c>
      <c r="L198" s="19">
        <f>SUM(F198:K198)</f>
        <v>567439.99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2225</f>
        <v>2225</v>
      </c>
      <c r="G200" s="18">
        <f>352.41</f>
        <v>352.41</v>
      </c>
      <c r="H200" s="18"/>
      <c r="I200" s="18"/>
      <c r="J200" s="18"/>
      <c r="K200" s="18"/>
      <c r="L200" s="19">
        <f>SUM(F200:K200)</f>
        <v>2577.41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63750+49170.73+45603+129301.8+125887.31+3198.3*2+79217.27+5643.02*2+2786.94*2+11286.04</f>
        <v>527472.67000000004</v>
      </c>
      <c r="G202" s="18">
        <f>39868.66+17977.94+37177.33+74550.72+71334.96+611.23+611.14+43836.22</f>
        <v>285968.20000000007</v>
      </c>
      <c r="H202" s="18">
        <f>3162.5+250+70+5320+2100+3010+899.64+258.05+56406.61+9069.33+472.5+4028+3816+33288.19+10752.5+19009.37+203.5</f>
        <v>152116.19</v>
      </c>
      <c r="I202" s="18">
        <f>938.09+4565.06+302.25+376.35+302.25+249.95+80+453+246.13-112.2</f>
        <v>7400.880000000001</v>
      </c>
      <c r="J202" s="18">
        <f>1675.77</f>
        <v>1675.77</v>
      </c>
      <c r="K202" s="18">
        <f>179+45</f>
        <v>224</v>
      </c>
      <c r="L202" s="19">
        <f t="shared" ref="L202:L208" si="0">SUM(F202:K202)</f>
        <v>974857.71000000008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15182.37+375</f>
        <v>15557.37</v>
      </c>
      <c r="G203" s="18">
        <f>15712.06+2734.34+5238.88+1914.81</f>
        <v>25600.090000000004</v>
      </c>
      <c r="H203" s="18">
        <f>364.5+542.5+2639.9+84.55+2143.44+107.64</f>
        <v>5882.5300000000007</v>
      </c>
      <c r="I203" s="18">
        <f>2378.69+1249+3525*0.468</f>
        <v>5277.39</v>
      </c>
      <c r="J203" s="18">
        <f>279.98+299.98*0.468</f>
        <v>420.37064000000004</v>
      </c>
      <c r="K203" s="18"/>
      <c r="L203" s="19">
        <f t="shared" si="0"/>
        <v>52737.750640000006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(500+1000+3500+300+157111.94+1793.93+122161.41+1322.02)*0.468+(537.6*2+2391.6*2)*0.468</f>
        <v>137380.32360000003</v>
      </c>
      <c r="G204" s="18">
        <f>(38.25+177.79+267.76+56905.51+342.81+73938.15+252.64)*0.468</f>
        <v>61739.921880000002</v>
      </c>
      <c r="H204" s="18">
        <f>(322.5+1826.16+11011.47+519.89+7723.58+319.47)*0.468-(1442.19*0.471)</f>
        <v>9487.1252700000005</v>
      </c>
      <c r="I204" s="18">
        <f>(373.71+4583.54+23.68+468.08)*0.468</f>
        <v>2550.1366800000001</v>
      </c>
      <c r="J204" s="18">
        <f>214.86*0.468</f>
        <v>100.55448000000001</v>
      </c>
      <c r="K204" s="18">
        <f>(4623.14+57+6985.44+125)*0.468</f>
        <v>5517.9914400000007</v>
      </c>
      <c r="L204" s="19">
        <f t="shared" si="0"/>
        <v>216776.05335000003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64071.16+27459.07+52605.06+25899.95+1850.3+267.2+2236+559+396.8*2-1133.5+2795</f>
        <v>177402.84000000003</v>
      </c>
      <c r="G205" s="18">
        <f>33073.62+14174.49+12536.23+16381.5+23.24+289.36</f>
        <v>76478.44</v>
      </c>
      <c r="H205" s="18">
        <f>8345.4+4328.68+3704.01+22867.51+6106.61+228.74+31.69</f>
        <v>45612.639999999999</v>
      </c>
      <c r="I205" s="18">
        <f>4885.68+3470.65+1746.75+1768.01</f>
        <v>11871.09</v>
      </c>
      <c r="J205" s="18">
        <f>1032.96+1224.66+1348.93</f>
        <v>3606.55</v>
      </c>
      <c r="K205" s="18">
        <f>839+105+3500+1990.79</f>
        <v>6434.79</v>
      </c>
      <c r="L205" s="19">
        <f t="shared" si="0"/>
        <v>321406.35000000003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(166186.14+3374.75)*0.468+(2980*2)*0.468</f>
        <v>82143.776520000014</v>
      </c>
      <c r="G206" s="18">
        <f>(86727.2+644.92)*0.468</f>
        <v>40890.152159999998</v>
      </c>
      <c r="H206" s="18">
        <f>(13430.06+91.11)*0.468-(148*0.471)</f>
        <v>6258.1995600000009</v>
      </c>
      <c r="I206" s="18">
        <f>21704.9*0.468</f>
        <v>10157.8932</v>
      </c>
      <c r="J206" s="18">
        <f>2619.99*0.468</f>
        <v>1226.1553200000001</v>
      </c>
      <c r="K206" s="18">
        <f>16653.86*0.468</f>
        <v>7794.0064800000009</v>
      </c>
      <c r="L206" s="19">
        <f t="shared" si="0"/>
        <v>148470.18324000001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99467.47+35210+1305.6+4644.98+58344*0.468+2066.72*2+409.6*2+(1144*2)*0.468</f>
        <v>173956.46600000004</v>
      </c>
      <c r="G207" s="18">
        <f>49017.88+760.55+276.53+16222.73+39999.42*0.468</f>
        <v>84997.418560000006</v>
      </c>
      <c r="H207" s="18">
        <f>55494.13+21369.6+11290.61+4864.95+11574.14+2492.37+(3602.43+50.51+2365.4)*0.468-4210-(1100*0.471)</f>
        <v>105174.28311999998</v>
      </c>
      <c r="I207" s="18">
        <f>62811.76+17829.85+909.15+3805.18+(3781.72+112.51+1532.7)*0.468-1289.49-233.38</f>
        <v>86372.873239999972</v>
      </c>
      <c r="J207" s="18">
        <f>2230.29+678.19</f>
        <v>2908.48</v>
      </c>
      <c r="K207" s="18"/>
      <c r="L207" s="19">
        <f t="shared" si="0"/>
        <v>453409.52091999998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170800+42700+11002.06+10620+4409.74+981.36+617</f>
        <v>241130.15999999997</v>
      </c>
      <c r="I208" s="18"/>
      <c r="J208" s="18"/>
      <c r="K208" s="18"/>
      <c r="L208" s="19">
        <f t="shared" si="0"/>
        <v>241130.15999999997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46231.12+11335.48+14810.35*0.468+889.6+222.4+1112</f>
        <v>66721.843800000002</v>
      </c>
      <c r="G209" s="18">
        <f>23592.43+5898.28+3243.59*0.468</f>
        <v>31008.71012</v>
      </c>
      <c r="H209" s="18">
        <f>2771.97+361.92+5028*0.468-138-(1100*0.471)</f>
        <v>4830.8940000000002</v>
      </c>
      <c r="I209" s="18">
        <f>918.25+1670.75+291</f>
        <v>2880</v>
      </c>
      <c r="J209" s="18">
        <f>1374.33+1196</f>
        <v>2570.33</v>
      </c>
      <c r="K209" s="18"/>
      <c r="L209" s="19">
        <f>SUM(F209:K209)</f>
        <v>108011.77792000001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2736899.8599199997</v>
      </c>
      <c r="G211" s="41">
        <f t="shared" si="1"/>
        <v>1363341.73272</v>
      </c>
      <c r="H211" s="41">
        <f t="shared" si="1"/>
        <v>614701.31194999989</v>
      </c>
      <c r="I211" s="41">
        <f t="shared" si="1"/>
        <v>215558.07311999999</v>
      </c>
      <c r="J211" s="41">
        <f t="shared" si="1"/>
        <v>58619.530440000002</v>
      </c>
      <c r="K211" s="41">
        <f t="shared" si="1"/>
        <v>23391.98792</v>
      </c>
      <c r="L211" s="41">
        <f t="shared" si="1"/>
        <v>5012512.4960700013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594192+6712.42+12875.26</f>
        <v>613779.68000000005</v>
      </c>
      <c r="G215" s="18">
        <f>299707.6+1538.27+1014.34</f>
        <v>302260.21000000002</v>
      </c>
      <c r="H215" s="18">
        <f>270.12+9473.03</f>
        <v>9743.1500000000015</v>
      </c>
      <c r="I215" s="18">
        <f>30137.55+475.39+3937.18+100.85-287.68</f>
        <v>34363.289999999994</v>
      </c>
      <c r="J215" s="18">
        <f>10554.58+30899.74+1736.2-603.98</f>
        <v>42586.539999999994</v>
      </c>
      <c r="K215" s="18"/>
      <c r="L215" s="19">
        <f>SUM(F215:K215)</f>
        <v>1002732.8700000002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53839.7+89799.95+2830.8</f>
        <v>146470.44999999998</v>
      </c>
      <c r="G216" s="18">
        <f>43440.26+42240.44+545.62</f>
        <v>86226.32</v>
      </c>
      <c r="H216" s="18">
        <f>437.5+133343.73</f>
        <v>133781.23000000001</v>
      </c>
      <c r="I216" s="18">
        <f>673.47</f>
        <v>673.47</v>
      </c>
      <c r="J216" s="18"/>
      <c r="K216" s="18">
        <f>(6876.83+273.17)*0.237</f>
        <v>1694.55</v>
      </c>
      <c r="L216" s="19">
        <f>SUM(F216:K216)</f>
        <v>368846.01999999996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9444.4+14072.28</f>
        <v>23516.68</v>
      </c>
      <c r="G218" s="18">
        <f>2163.48+2024.13</f>
        <v>4187.6100000000006</v>
      </c>
      <c r="H218" s="18">
        <f>6046.82+946.5+4602.13+6761.1</f>
        <v>18356.550000000003</v>
      </c>
      <c r="I218" s="18">
        <f>912.77+2879.92+1107</f>
        <v>4899.6900000000005</v>
      </c>
      <c r="J218" s="18">
        <f>3721.91</f>
        <v>3721.91</v>
      </c>
      <c r="K218" s="18">
        <f>1253.14+1742.96+5000</f>
        <v>7996.1</v>
      </c>
      <c r="L218" s="19">
        <f>SUM(F218:K218)</f>
        <v>62678.54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42204.9+700.86+15057.05+681.45+29021.38+294+588*0.5</f>
        <v>88253.64</v>
      </c>
      <c r="G220" s="18">
        <f>19391.82+163.43+16911.55+130.23+12336.46</f>
        <v>48933.490000000005</v>
      </c>
      <c r="H220" s="18">
        <f>1954.9+200+94+523.3+4270+1942.5+50+15759.2+202.5+16706.06+10063.98+2851-2700</f>
        <v>51917.440000000002</v>
      </c>
      <c r="I220" s="18">
        <f>1554.8+345.3+120.9</f>
        <v>2021</v>
      </c>
      <c r="J220" s="18"/>
      <c r="K220" s="18">
        <f>69+60</f>
        <v>129</v>
      </c>
      <c r="L220" s="19">
        <f t="shared" ref="L220:L226" si="2">SUM(F220:K220)</f>
        <v>191254.57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797.5+23076</f>
        <v>23873.5</v>
      </c>
      <c r="G221" s="18">
        <f>2873.27+502.02+1834.51+16806.22</f>
        <v>22016.02</v>
      </c>
      <c r="H221" s="18">
        <f>48.72+862.02+26.62</f>
        <v>937.36</v>
      </c>
      <c r="I221" s="18">
        <f>4541.7+499.6+3525*0.237</f>
        <v>5876.7250000000004</v>
      </c>
      <c r="J221" s="18">
        <f>885.41+299.98*0.237</f>
        <v>956.50525999999991</v>
      </c>
      <c r="K221" s="18">
        <f>18</f>
        <v>18</v>
      </c>
      <c r="L221" s="19">
        <f t="shared" si="2"/>
        <v>53678.110260000001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(500+1000+3500+300+157111.94+1793.93+122161.41+1322.02)*0.237+(537.6*2+2391.6*2)*0.237</f>
        <v>69570.804900000003</v>
      </c>
      <c r="G222" s="18">
        <f>(38.25+177.79+267.76+56905.51+342.81+73938.15+252.64)*0.237</f>
        <v>31265.729670000001</v>
      </c>
      <c r="H222" s="18">
        <f>(322.5+1826.16+11011.47+519.89+7723.58+319.47)*0.237-(1442.19*0.22)</f>
        <v>4831.0857900000001</v>
      </c>
      <c r="I222" s="18">
        <f>(373.71+4583.54+23.68+468.08)*0.237</f>
        <v>1291.4153699999999</v>
      </c>
      <c r="J222" s="18">
        <f>214.86*0.237</f>
        <v>50.921820000000004</v>
      </c>
      <c r="K222" s="18">
        <f>(4623.14+57+6985.44+125)*0.237</f>
        <v>2794.3674599999999</v>
      </c>
      <c r="L222" s="19">
        <f t="shared" si="2"/>
        <v>109804.32501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73174.9+25627.69+994.34+1434.8*2+381.76*2+2152.2*0.4</f>
        <v>104290.93000000001</v>
      </c>
      <c r="G223" s="18">
        <f>19597.41+22549.35+190.01</f>
        <v>42336.77</v>
      </c>
      <c r="H223" s="18">
        <f>9195.34+237.22+16915.42+342.93-204.62</f>
        <v>26486.289999999997</v>
      </c>
      <c r="I223" s="18">
        <f>389.93+1834.42+258.22-26.21</f>
        <v>2456.3599999999997</v>
      </c>
      <c r="J223" s="18">
        <f>179.55</f>
        <v>179.55</v>
      </c>
      <c r="K223" s="18">
        <f>2001.18+1172.13</f>
        <v>3173.3100000000004</v>
      </c>
      <c r="L223" s="19">
        <f t="shared" si="2"/>
        <v>178923.21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(166186.14+3374.75)*0.237+(2980*2)*0.237</f>
        <v>41598.450929999999</v>
      </c>
      <c r="G224" s="18">
        <f>(86727.2+644.92)*0.237</f>
        <v>20707.192439999999</v>
      </c>
      <c r="H224" s="18">
        <f>(13430.06+91.11)*0.237-(148*0.22)</f>
        <v>3171.9572899999998</v>
      </c>
      <c r="I224" s="18">
        <f>21704.9*0.237</f>
        <v>5144.0613000000003</v>
      </c>
      <c r="J224" s="18">
        <f>2619.99*0.237</f>
        <v>620.9376299999999</v>
      </c>
      <c r="K224" s="18">
        <f>16653.86*0.237</f>
        <v>3946.9648200000001</v>
      </c>
      <c r="L224" s="19">
        <f t="shared" si="2"/>
        <v>75189.564409999992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58344*0.237+50574.5+2749.62+390.4*2+(1144*2)*0.237</f>
        <v>68474.703999999998</v>
      </c>
      <c r="G225" s="18">
        <f>39999.42*0.237+14218.22+408.22</f>
        <v>24106.302539999997</v>
      </c>
      <c r="H225" s="18">
        <f>(50.51+3602.43+2365.4)*0.237+46660.52+180.64+8578.72+8023.37-58998.2-688-(1100*0.22)</f>
        <v>4941.3965800000005</v>
      </c>
      <c r="I225" s="18">
        <f>44384.92+1414.07+(3781.72+112.51+1532.7)*0.237-2014.45</f>
        <v>45070.722410000002</v>
      </c>
      <c r="J225" s="18">
        <f>1343.6</f>
        <v>1343.6</v>
      </c>
      <c r="K225" s="18"/>
      <c r="L225" s="19">
        <f t="shared" si="2"/>
        <v>143936.72553000003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47350+2078.72+14732.86</f>
        <v>64161.58</v>
      </c>
      <c r="I226" s="18"/>
      <c r="J226" s="18"/>
      <c r="K226" s="18"/>
      <c r="L226" s="19">
        <f t="shared" si="2"/>
        <v>64161.58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14810.35*0.237+31399.9</f>
        <v>34909.952949999999</v>
      </c>
      <c r="G227" s="18">
        <f>6458.23+3243.59*0.237</f>
        <v>7226.96083</v>
      </c>
      <c r="H227" s="18">
        <f>5028*0.237+2034-(1100*0.22)</f>
        <v>2983.636</v>
      </c>
      <c r="I227" s="18">
        <f>6.49</f>
        <v>6.49</v>
      </c>
      <c r="J227" s="18"/>
      <c r="K227" s="18"/>
      <c r="L227" s="19">
        <f>SUM(F227:K227)</f>
        <v>45127.039779999999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1214738.79278</v>
      </c>
      <c r="G229" s="41">
        <f>SUM(G215:G228)</f>
        <v>589266.60548000003</v>
      </c>
      <c r="H229" s="41">
        <f>SUM(H215:H228)</f>
        <v>321311.67566000001</v>
      </c>
      <c r="I229" s="41">
        <f>SUM(I215:I228)</f>
        <v>101803.22408</v>
      </c>
      <c r="J229" s="41">
        <f>SUM(J215:J228)</f>
        <v>49459.96471</v>
      </c>
      <c r="K229" s="41">
        <f t="shared" si="3"/>
        <v>19752.292280000001</v>
      </c>
      <c r="L229" s="41">
        <f t="shared" si="3"/>
        <v>2296332.5549900006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960832.26+10068.59+15569</f>
        <v>986469.85</v>
      </c>
      <c r="G233" s="18">
        <f>432220.72+2307.39+1239.28</f>
        <v>435767.39</v>
      </c>
      <c r="H233" s="18">
        <f>405.18+14209.57</f>
        <v>14614.75</v>
      </c>
      <c r="I233" s="18">
        <f>27579.71+4969.21+752.15-427.83</f>
        <v>32873.24</v>
      </c>
      <c r="J233" s="18">
        <f>22994.63+2236.2+36003.69-905.97</f>
        <v>60328.55</v>
      </c>
      <c r="K233" s="18"/>
      <c r="L233" s="19">
        <f>SUM(F233:K233)</f>
        <v>1530053.78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69485.16+69283.99+270</f>
        <v>139039.15000000002</v>
      </c>
      <c r="G234" s="18">
        <f>31145.4+8206.62+20.67</f>
        <v>39372.69</v>
      </c>
      <c r="H234" s="18">
        <f>437.5+436705.4</f>
        <v>437142.9</v>
      </c>
      <c r="I234" s="18">
        <f>509.5</f>
        <v>509.5</v>
      </c>
      <c r="J234" s="18">
        <f>169</f>
        <v>169</v>
      </c>
      <c r="K234" s="18">
        <f>(6876.83+273.17)*0.295</f>
        <v>2109.25</v>
      </c>
      <c r="L234" s="19">
        <f>SUM(F234:K234)</f>
        <v>618342.49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5132.78+1493.66-9141.89</f>
        <v>-2515.4499999999998</v>
      </c>
      <c r="I235" s="18"/>
      <c r="J235" s="18"/>
      <c r="K235" s="18"/>
      <c r="L235" s="19">
        <f>SUM(F235:K235)</f>
        <v>-2515.4499999999998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18894.33+31191.72</f>
        <v>50086.05</v>
      </c>
      <c r="G236" s="18">
        <f>4166.21+4262.39</f>
        <v>8428.6</v>
      </c>
      <c r="H236" s="18">
        <f>9070.23+1419.75+5136.33+10141.64</f>
        <v>25767.949999999997</v>
      </c>
      <c r="I236" s="18">
        <f>1370.06+3417.76+1112</f>
        <v>5899.82</v>
      </c>
      <c r="J236" s="18">
        <f>5288.19</f>
        <v>5288.19</v>
      </c>
      <c r="K236" s="18">
        <f>3036.64+2614.42</f>
        <v>5651.0599999999995</v>
      </c>
      <c r="L236" s="19">
        <f>SUM(F236:K236)</f>
        <v>101121.67000000001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70941.1+1469.8+15707.8+681.45+43532.07+294+588*0.5</f>
        <v>132920.22</v>
      </c>
      <c r="G238" s="18">
        <f>42716.28+342.76+17315.92+130.22+18504.58</f>
        <v>79009.760000000009</v>
      </c>
      <c r="H238" s="18">
        <f>2141.2+300+141+784.96+3500+5110+50+13743.36+404.99+11501.69-500</f>
        <v>37177.200000000004</v>
      </c>
      <c r="I238" s="18">
        <f>2332.2+516.94+181.35</f>
        <v>3030.49</v>
      </c>
      <c r="J238" s="18"/>
      <c r="K238" s="18">
        <f>624+90</f>
        <v>714</v>
      </c>
      <c r="L238" s="19">
        <f t="shared" ref="L238:L244" si="4">SUM(F238:K238)</f>
        <v>252851.67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1665+34614</f>
        <v>36279</v>
      </c>
      <c r="G239" s="18">
        <f>4293.55+753.03+4696.07+25209.33</f>
        <v>34951.980000000003</v>
      </c>
      <c r="H239" s="18">
        <f>73.07+1293.03+39.93</f>
        <v>1406.03</v>
      </c>
      <c r="I239" s="18">
        <f>6722.24+749.4+3525*0.295</f>
        <v>8511.5149999999994</v>
      </c>
      <c r="J239" s="18">
        <f>1328.11+299.98*0.295</f>
        <v>1416.6041</v>
      </c>
      <c r="K239" s="18">
        <f>27</f>
        <v>27</v>
      </c>
      <c r="L239" s="19">
        <f t="shared" si="4"/>
        <v>82592.129100000006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(500+1000+3500+300+157111.94+1793.93+122161.41+1322.02)*0.295+(537.6*2+2391.6*2)*0.295</f>
        <v>86596.571500000005</v>
      </c>
      <c r="G240" s="18">
        <f>(38.25+177.79+267.76+56905.51+342.81+73938.15+252.64)*0.295</f>
        <v>38917.258450000001</v>
      </c>
      <c r="H240" s="18">
        <f>-154+(322.5+1826.16+11011.47+519.89+7723.58+319.47)*0.295-(1442.19*0.309)</f>
        <v>5808.6689399999996</v>
      </c>
      <c r="I240" s="18">
        <f>(373.71+4583.54+23.68+468.08)*0.295</f>
        <v>1607.45795</v>
      </c>
      <c r="J240" s="18">
        <f>214.86*0.295</f>
        <v>63.383699999999997</v>
      </c>
      <c r="K240" s="18">
        <f>(4623.14+57+6985.44+125)*0.295</f>
        <v>3478.2210999999998</v>
      </c>
      <c r="L240" s="19">
        <f t="shared" si="4"/>
        <v>136471.56164000003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109762.1+38441.43+1491.44+2152.2*2+572.64*2+0.6-919.78</f>
        <v>154225.47</v>
      </c>
      <c r="G241" s="18">
        <f>29395.69+33762.72+285.02</f>
        <v>63443.43</v>
      </c>
      <c r="H241" s="18">
        <f>10993.56+355.84+25391.86+514.42-306.91</f>
        <v>36948.769999999997</v>
      </c>
      <c r="I241" s="18">
        <f>1328.29+2672.5+383.07-37.17</f>
        <v>4346.6899999999996</v>
      </c>
      <c r="J241" s="18">
        <f>269.32</f>
        <v>269.32</v>
      </c>
      <c r="K241" s="18">
        <f>3001.77+2299.24</f>
        <v>5301.01</v>
      </c>
      <c r="L241" s="19">
        <f t="shared" si="4"/>
        <v>264534.69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(166186.14+3374.75)*0.295+(2980*2)*0.295</f>
        <v>51778.662550000001</v>
      </c>
      <c r="G242" s="18">
        <f>(86727.2+644.92)*0.295</f>
        <v>25774.775399999999</v>
      </c>
      <c r="H242" s="18">
        <f>(13430.06+91.11)*0.295-(148*0.309)</f>
        <v>3943.0131499999998</v>
      </c>
      <c r="I242" s="18">
        <f>21704.9*0.295</f>
        <v>6402.9454999999998</v>
      </c>
      <c r="J242" s="18">
        <f>2619.99*0.295</f>
        <v>772.89704999999992</v>
      </c>
      <c r="K242" s="18">
        <f>16653.86*0.295</f>
        <v>4912.8886999999995</v>
      </c>
      <c r="L242" s="19">
        <f t="shared" si="4"/>
        <v>93585.182349999988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50662.02+2749.62+58344*0.295+390.4*2+(1144*2)*0.295</f>
        <v>72078.880000000005</v>
      </c>
      <c r="G243" s="18">
        <f>14234.47+408.15+39999.42*0.295</f>
        <v>26442.448899999996</v>
      </c>
      <c r="H243" s="18">
        <f>57808.49+10519.57+270.96+12052.12+(50.51+3602.43+2365.4)*0.295-94922.3-1032-(1100*0.309)</f>
        <v>-13867.6497</v>
      </c>
      <c r="I243" s="18">
        <f>64943.24+2675.02+(3781.72+112.51+1532.7)*0.295-2991.29</f>
        <v>66227.914350000006</v>
      </c>
      <c r="J243" s="18">
        <f>1945.39</f>
        <v>1945.39</v>
      </c>
      <c r="K243" s="18"/>
      <c r="L243" s="19">
        <f t="shared" si="4"/>
        <v>152826.98355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93530+1800+5014.71+17127+25472.63</f>
        <v>142944.34</v>
      </c>
      <c r="I244" s="18"/>
      <c r="J244" s="18"/>
      <c r="K244" s="18"/>
      <c r="L244" s="19">
        <f t="shared" si="4"/>
        <v>142944.34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31400.15+14810.35*0.295</f>
        <v>35769.203249999999</v>
      </c>
      <c r="G245" s="18">
        <f>6447.31+3243.59*0.295</f>
        <v>7404.1690500000004</v>
      </c>
      <c r="H245" s="18">
        <f>5028*0.295+2034-(1100*0.309)</f>
        <v>3177.36</v>
      </c>
      <c r="I245" s="18">
        <f>6.49</f>
        <v>6.49</v>
      </c>
      <c r="J245" s="18"/>
      <c r="K245" s="18"/>
      <c r="L245" s="19">
        <f>SUM(F245:K245)</f>
        <v>46357.222300000001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1745243.0573000002</v>
      </c>
      <c r="G247" s="41">
        <f t="shared" si="5"/>
        <v>759512.50179999997</v>
      </c>
      <c r="H247" s="41">
        <f t="shared" si="5"/>
        <v>692547.88239000004</v>
      </c>
      <c r="I247" s="41">
        <f t="shared" si="5"/>
        <v>129416.06280000001</v>
      </c>
      <c r="J247" s="41">
        <f t="shared" si="5"/>
        <v>70253.334850000014</v>
      </c>
      <c r="K247" s="41">
        <f t="shared" si="5"/>
        <v>22193.429800000002</v>
      </c>
      <c r="L247" s="41">
        <f t="shared" si="5"/>
        <v>3419166.2689399994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5696881.71</v>
      </c>
      <c r="G257" s="41">
        <f t="shared" si="8"/>
        <v>2712120.84</v>
      </c>
      <c r="H257" s="41">
        <f t="shared" si="8"/>
        <v>1628560.87</v>
      </c>
      <c r="I257" s="41">
        <f t="shared" si="8"/>
        <v>446777.36</v>
      </c>
      <c r="J257" s="41">
        <f t="shared" si="8"/>
        <v>178332.83000000002</v>
      </c>
      <c r="K257" s="41">
        <f t="shared" si="8"/>
        <v>65337.710000000006</v>
      </c>
      <c r="L257" s="41">
        <f t="shared" si="8"/>
        <v>10728011.320000002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f>128000+192000</f>
        <v>320000</v>
      </c>
      <c r="L260" s="19">
        <f>SUM(F260:K260)</f>
        <v>320000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f>331690+23520+35280</f>
        <v>390490</v>
      </c>
      <c r="L261" s="19">
        <f>SUM(F261:K261)</f>
        <v>390490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f>16314.44-2049.31</f>
        <v>14265.130000000001</v>
      </c>
      <c r="L263" s="19">
        <f>SUM(F263:K263)</f>
        <v>14265.130000000001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724755.13</v>
      </c>
      <c r="L270" s="41">
        <f t="shared" si="9"/>
        <v>724755.13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5696881.71</v>
      </c>
      <c r="G271" s="42">
        <f t="shared" si="11"/>
        <v>2712120.84</v>
      </c>
      <c r="H271" s="42">
        <f t="shared" si="11"/>
        <v>1628560.87</v>
      </c>
      <c r="I271" s="42">
        <f t="shared" si="11"/>
        <v>446777.36</v>
      </c>
      <c r="J271" s="42">
        <f t="shared" si="11"/>
        <v>178332.83000000002</v>
      </c>
      <c r="K271" s="42">
        <f t="shared" si="11"/>
        <v>790092.84</v>
      </c>
      <c r="L271" s="42">
        <f t="shared" si="11"/>
        <v>11452766.450000003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86779.91</f>
        <v>86779.91</v>
      </c>
      <c r="G276" s="18">
        <v>25092.75</v>
      </c>
      <c r="H276" s="18"/>
      <c r="I276" s="18">
        <f>344.64</f>
        <v>344.64</v>
      </c>
      <c r="J276" s="18"/>
      <c r="K276" s="18"/>
      <c r="L276" s="19">
        <f>SUM(F276:K276)</f>
        <v>112217.3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f>107.25</f>
        <v>107.25</v>
      </c>
      <c r="J279" s="18"/>
      <c r="K279" s="18"/>
      <c r="L279" s="19">
        <f>SUM(F279:K279)</f>
        <v>107.25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4"/>
      <c r="G281" s="18"/>
      <c r="H281" s="18">
        <f>2424.1+46102.4+20197+28997.5*0.518+5318.75*0.621+2000+2814.28*0.467</f>
        <v>90361.417510000014</v>
      </c>
      <c r="I281" s="18">
        <f>393.89</f>
        <v>393.89</v>
      </c>
      <c r="J281" s="18"/>
      <c r="K281" s="18"/>
      <c r="L281" s="19">
        <f>SUM(G281:K281)</f>
        <v>90755.307510000013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2500</f>
        <v>2500</v>
      </c>
      <c r="G282" s="18">
        <f>494.88+449.11*0.2</f>
        <v>584.702</v>
      </c>
      <c r="H282" s="18">
        <f>750*0.467+495+9560.25+2187*2+362.88*0.467</f>
        <v>14948.964959999999</v>
      </c>
      <c r="I282" s="18">
        <f>125.68</f>
        <v>125.68</v>
      </c>
      <c r="J282" s="18"/>
      <c r="K282" s="18"/>
      <c r="L282" s="19">
        <f t="shared" ref="L282:L287" si="12">SUM(F282:K282)</f>
        <v>18159.346959999999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>
        <f>4488.5</f>
        <v>4488.5</v>
      </c>
      <c r="J288" s="18"/>
      <c r="K288" s="18"/>
      <c r="L288" s="19">
        <f>SUM(F288:K288)</f>
        <v>4488.5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89279.91</v>
      </c>
      <c r="G290" s="42">
        <f t="shared" si="13"/>
        <v>25677.452000000001</v>
      </c>
      <c r="H290" s="42">
        <f t="shared" si="13"/>
        <v>105310.38247000001</v>
      </c>
      <c r="I290" s="42">
        <f t="shared" si="13"/>
        <v>5459.96</v>
      </c>
      <c r="J290" s="42">
        <f t="shared" si="13"/>
        <v>0</v>
      </c>
      <c r="K290" s="42">
        <f t="shared" si="13"/>
        <v>0</v>
      </c>
      <c r="L290" s="41">
        <f t="shared" si="13"/>
        <v>225727.70447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f>138.64</f>
        <v>138.63999999999999</v>
      </c>
      <c r="J295" s="18"/>
      <c r="K295" s="18"/>
      <c r="L295" s="19">
        <f>SUM(F295:K295)</f>
        <v>138.63999999999999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f>5318.75*0.379+28997.5*0.321+750*0.4+2814.28*0.236</f>
        <v>12288.17383</v>
      </c>
      <c r="I300" s="18"/>
      <c r="J300" s="18"/>
      <c r="K300" s="18"/>
      <c r="L300" s="19">
        <f t="shared" ref="L300:L306" si="14">SUM(F300:K300)</f>
        <v>12288.17383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800</f>
        <v>800</v>
      </c>
      <c r="G301" s="18">
        <f>449.11*0.8*0.4</f>
        <v>143.71520000000001</v>
      </c>
      <c r="H301" s="18">
        <f>750*0.236+362.88*0.236</f>
        <v>262.63968</v>
      </c>
      <c r="I301" s="18"/>
      <c r="J301" s="18"/>
      <c r="K301" s="18"/>
      <c r="L301" s="19">
        <f t="shared" si="14"/>
        <v>1206.3548799999999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800</v>
      </c>
      <c r="G309" s="42">
        <f t="shared" si="15"/>
        <v>143.71520000000001</v>
      </c>
      <c r="H309" s="42">
        <f t="shared" si="15"/>
        <v>12550.81351</v>
      </c>
      <c r="I309" s="42">
        <f t="shared" si="15"/>
        <v>138.63999999999999</v>
      </c>
      <c r="J309" s="42">
        <f t="shared" si="15"/>
        <v>0</v>
      </c>
      <c r="K309" s="42">
        <f t="shared" si="15"/>
        <v>0</v>
      </c>
      <c r="L309" s="41">
        <f t="shared" si="15"/>
        <v>13633.168709999998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f>61.7</f>
        <v>61.7</v>
      </c>
      <c r="J314" s="18"/>
      <c r="K314" s="18"/>
      <c r="L314" s="19">
        <f>SUM(F314:K314)</f>
        <v>61.7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>
        <f>655.55</f>
        <v>655.55</v>
      </c>
      <c r="J317" s="18"/>
      <c r="K317" s="18"/>
      <c r="L317" s="19">
        <f>SUM(F317:K317)</f>
        <v>655.55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f>28997.5*0.161+750*0.6+2814.28*0.297</f>
        <v>5954.4386599999998</v>
      </c>
      <c r="I319" s="18"/>
      <c r="J319" s="18"/>
      <c r="K319" s="18"/>
      <c r="L319" s="19">
        <f t="shared" ref="L319:L325" si="16">SUM(F319:K319)</f>
        <v>5954.4386599999998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1200</v>
      </c>
      <c r="G320" s="18">
        <f>449.11*0.8*0.6</f>
        <v>215.5728</v>
      </c>
      <c r="H320" s="18">
        <f>750*0.297+6112.25+362.88*0.297</f>
        <v>6442.7753599999996</v>
      </c>
      <c r="I320" s="18"/>
      <c r="J320" s="18"/>
      <c r="K320" s="18"/>
      <c r="L320" s="19">
        <f t="shared" si="16"/>
        <v>7858.3481599999996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1200</v>
      </c>
      <c r="G328" s="42">
        <f t="shared" si="17"/>
        <v>215.5728</v>
      </c>
      <c r="H328" s="42">
        <f t="shared" si="17"/>
        <v>12397.214019999999</v>
      </c>
      <c r="I328" s="42">
        <f t="shared" si="17"/>
        <v>717.25</v>
      </c>
      <c r="J328" s="42">
        <f t="shared" si="17"/>
        <v>0</v>
      </c>
      <c r="K328" s="42">
        <f t="shared" si="17"/>
        <v>0</v>
      </c>
      <c r="L328" s="41">
        <f t="shared" si="17"/>
        <v>14530.036819999999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91279.91</v>
      </c>
      <c r="G338" s="41">
        <f t="shared" si="20"/>
        <v>26036.74</v>
      </c>
      <c r="H338" s="41">
        <f t="shared" si="20"/>
        <v>130258.41000000002</v>
      </c>
      <c r="I338" s="41">
        <f t="shared" si="20"/>
        <v>6315.85</v>
      </c>
      <c r="J338" s="41">
        <f t="shared" si="20"/>
        <v>0</v>
      </c>
      <c r="K338" s="41">
        <f t="shared" si="20"/>
        <v>0</v>
      </c>
      <c r="L338" s="41">
        <f t="shared" si="20"/>
        <v>253890.91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91279.91</v>
      </c>
      <c r="G352" s="41">
        <f>G338</f>
        <v>26036.74</v>
      </c>
      <c r="H352" s="41">
        <f>H338</f>
        <v>130258.41000000002</v>
      </c>
      <c r="I352" s="41">
        <f>I338</f>
        <v>6315.85</v>
      </c>
      <c r="J352" s="41">
        <f>J338</f>
        <v>0</v>
      </c>
      <c r="K352" s="47">
        <f>K338+K351</f>
        <v>0</v>
      </c>
      <c r="L352" s="41">
        <f>L338+L351</f>
        <v>253890.91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33505.11</f>
        <v>33505.11</v>
      </c>
      <c r="G358" s="18">
        <v>5977.39</v>
      </c>
      <c r="H358" s="18">
        <f>485.2+699.7+367.2</f>
        <v>1552.1000000000001</v>
      </c>
      <c r="I358" s="18">
        <f>40756.61+744.83</f>
        <v>41501.440000000002</v>
      </c>
      <c r="J358" s="18">
        <f>389.4</f>
        <v>389.4</v>
      </c>
      <c r="K358" s="18">
        <f>137.15</f>
        <v>137.15</v>
      </c>
      <c r="L358" s="13">
        <f>SUM(F358:K358)</f>
        <v>83062.59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27501.09</v>
      </c>
      <c r="G359" s="18">
        <v>7058.52</v>
      </c>
      <c r="H359" s="18">
        <f>195.96+448.06</f>
        <v>644.02</v>
      </c>
      <c r="I359" s="18">
        <f>27206.63</f>
        <v>27206.63</v>
      </c>
      <c r="J359" s="18">
        <f>419.99*0.4</f>
        <v>167.99600000000001</v>
      </c>
      <c r="K359" s="18">
        <f>75.27</f>
        <v>75.27</v>
      </c>
      <c r="L359" s="19">
        <f>SUM(F359:K359)</f>
        <v>62653.525999999991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33482.589999999997</v>
      </c>
      <c r="G360" s="18">
        <f>9099.77</f>
        <v>9099.77</v>
      </c>
      <c r="H360" s="18">
        <f>448.06+235.67</f>
        <v>683.73</v>
      </c>
      <c r="I360" s="18">
        <f>31149.45</f>
        <v>31149.45</v>
      </c>
      <c r="J360" s="18">
        <f>419.99*0.6</f>
        <v>251.994</v>
      </c>
      <c r="K360" s="18">
        <f>75.27</f>
        <v>75.27</v>
      </c>
      <c r="L360" s="19">
        <f>SUM(F360:K360)</f>
        <v>74742.804000000018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94488.79</v>
      </c>
      <c r="G362" s="47">
        <f t="shared" si="22"/>
        <v>22135.68</v>
      </c>
      <c r="H362" s="47">
        <f t="shared" si="22"/>
        <v>2879.85</v>
      </c>
      <c r="I362" s="47">
        <f t="shared" si="22"/>
        <v>99857.52</v>
      </c>
      <c r="J362" s="47">
        <f t="shared" si="22"/>
        <v>809.39</v>
      </c>
      <c r="K362" s="47">
        <f t="shared" si="22"/>
        <v>287.69</v>
      </c>
      <c r="L362" s="47">
        <f t="shared" si="22"/>
        <v>220458.91999999998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36970.25+733.89</f>
        <v>37704.14</v>
      </c>
      <c r="G367" s="18">
        <v>24895.200000000001</v>
      </c>
      <c r="H367" s="18">
        <v>28300.06</v>
      </c>
      <c r="I367" s="56">
        <f>SUM(F367:H367)</f>
        <v>90899.4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3103.61+10.94+682.75</f>
        <v>3797.3</v>
      </c>
      <c r="G368" s="63">
        <f>1559.56+751.87</f>
        <v>2311.4299999999998</v>
      </c>
      <c r="H368" s="63">
        <f>801.38+2048.01</f>
        <v>2849.3900000000003</v>
      </c>
      <c r="I368" s="56">
        <f>SUM(F368:H368)</f>
        <v>8958.119999999999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41501.440000000002</v>
      </c>
      <c r="G369" s="47">
        <f>SUM(G367:G368)</f>
        <v>27206.63</v>
      </c>
      <c r="H369" s="47">
        <f>SUM(H367:H368)</f>
        <v>31149.45</v>
      </c>
      <c r="I369" s="47">
        <f>SUM(I367:I368)</f>
        <v>99857.51999999999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90143.19</v>
      </c>
      <c r="I379" s="18"/>
      <c r="J379" s="18"/>
      <c r="K379" s="18"/>
      <c r="L379" s="13">
        <f t="shared" si="23"/>
        <v>90143.19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164109.06</v>
      </c>
      <c r="L381" s="13">
        <f t="shared" si="23"/>
        <v>164109.06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90143.19</v>
      </c>
      <c r="I382" s="41">
        <f t="shared" si="24"/>
        <v>0</v>
      </c>
      <c r="J382" s="47">
        <f t="shared" si="24"/>
        <v>0</v>
      </c>
      <c r="K382" s="47">
        <f t="shared" si="24"/>
        <v>164109.06</v>
      </c>
      <c r="L382" s="47">
        <f t="shared" si="24"/>
        <v>254252.25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1895.05</v>
      </c>
      <c r="I396" s="18">
        <v>-460.66</v>
      </c>
      <c r="J396" s="24" t="s">
        <v>288</v>
      </c>
      <c r="K396" s="24" t="s">
        <v>288</v>
      </c>
      <c r="L396" s="56">
        <f t="shared" si="26"/>
        <v>1434.3899999999999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878.95</v>
      </c>
      <c r="I397" s="18"/>
      <c r="J397" s="24" t="s">
        <v>288</v>
      </c>
      <c r="K397" s="24" t="s">
        <v>288</v>
      </c>
      <c r="L397" s="56">
        <f t="shared" si="26"/>
        <v>878.95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221.36</v>
      </c>
      <c r="I399" s="18"/>
      <c r="J399" s="24" t="s">
        <v>288</v>
      </c>
      <c r="K399" s="24" t="s">
        <v>288</v>
      </c>
      <c r="L399" s="56">
        <f t="shared" si="26"/>
        <v>221.36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2995.36</v>
      </c>
      <c r="I401" s="47">
        <f>SUM(I395:I400)</f>
        <v>-460.66</v>
      </c>
      <c r="J401" s="45" t="s">
        <v>288</v>
      </c>
      <c r="K401" s="45" t="s">
        <v>288</v>
      </c>
      <c r="L401" s="47">
        <f>SUM(L395:L400)</f>
        <v>2534.7000000000003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2995.36</v>
      </c>
      <c r="I408" s="47">
        <f>I393+I401+I407</f>
        <v>-460.66</v>
      </c>
      <c r="J408" s="24" t="s">
        <v>288</v>
      </c>
      <c r="K408" s="24" t="s">
        <v>288</v>
      </c>
      <c r="L408" s="47">
        <f>L393+L401+L407</f>
        <v>2534.7000000000003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f>102762+12850</f>
        <v>115612</v>
      </c>
      <c r="I422" s="18"/>
      <c r="J422" s="18"/>
      <c r="K422" s="18"/>
      <c r="L422" s="56">
        <f t="shared" si="29"/>
        <v>115612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115612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115612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115612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115612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378073.9</v>
      </c>
      <c r="G439" s="18"/>
      <c r="H439" s="18"/>
      <c r="I439" s="56">
        <f t="shared" ref="I439:I445" si="33">SUM(F439:H439)</f>
        <v>378073.9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378073.9</v>
      </c>
      <c r="G446" s="13">
        <f>SUM(G439:G445)</f>
        <v>0</v>
      </c>
      <c r="H446" s="13">
        <f>SUM(H439:H445)</f>
        <v>0</v>
      </c>
      <c r="I446" s="13">
        <f>SUM(I439:I445)</f>
        <v>378073.9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378073.9</v>
      </c>
      <c r="G456" s="18"/>
      <c r="H456" s="18"/>
      <c r="I456" s="56">
        <f t="shared" si="34"/>
        <v>378073.9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378073.9</v>
      </c>
      <c r="G460" s="83">
        <f>SUM(G454:G459)</f>
        <v>0</v>
      </c>
      <c r="H460" s="83">
        <f>SUM(H454:H459)</f>
        <v>0</v>
      </c>
      <c r="I460" s="83">
        <f>SUM(I454:I459)</f>
        <v>378073.9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378073.9</v>
      </c>
      <c r="G461" s="42">
        <f>G452+G460</f>
        <v>0</v>
      </c>
      <c r="H461" s="42">
        <f>H452+H460</f>
        <v>0</v>
      </c>
      <c r="I461" s="42">
        <f>I452+I460</f>
        <v>378073.9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362710.51</v>
      </c>
      <c r="G465" s="18">
        <v>578.24</v>
      </c>
      <c r="H465" s="18">
        <v>1238.6400000000001</v>
      </c>
      <c r="I465" s="18">
        <v>250597.24</v>
      </c>
      <c r="J465" s="18">
        <v>491151.2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11901824.9</v>
      </c>
      <c r="G468" s="18">
        <f>221919.49+588.74-2049.31</f>
        <v>220458.91999999998</v>
      </c>
      <c r="H468" s="18">
        <v>253830.85</v>
      </c>
      <c r="I468" s="18">
        <v>3655.01</v>
      </c>
      <c r="J468" s="18">
        <f>2995.36-460.66</f>
        <v>2534.7000000000003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11901824.9</v>
      </c>
      <c r="G470" s="53">
        <f>SUM(G468:G469)</f>
        <v>220458.91999999998</v>
      </c>
      <c r="H470" s="53">
        <f>SUM(H468:H469)</f>
        <v>253830.85</v>
      </c>
      <c r="I470" s="53">
        <f>SUM(I468:I469)</f>
        <v>3655.01</v>
      </c>
      <c r="J470" s="53">
        <f>SUM(J468:J469)</f>
        <v>2534.7000000000003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11457593.29+182889.2-187716.04</f>
        <v>11452766.449999999</v>
      </c>
      <c r="G472" s="18">
        <f>221919.49+588.74-2049.31</f>
        <v>220458.91999999998</v>
      </c>
      <c r="H472" s="18">
        <v>253890.91</v>
      </c>
      <c r="I472" s="18">
        <v>254252.25</v>
      </c>
      <c r="J472" s="18">
        <v>115612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132055.48-11368.6+102762</f>
        <v>223448.88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11676215.33</v>
      </c>
      <c r="G474" s="53">
        <f>SUM(G472:G473)</f>
        <v>220458.91999999998</v>
      </c>
      <c r="H474" s="53">
        <f>SUM(H472:H473)</f>
        <v>253890.91</v>
      </c>
      <c r="I474" s="53">
        <f>SUM(I472:I473)</f>
        <v>254252.25</v>
      </c>
      <c r="J474" s="53">
        <f>SUM(J472:J473)</f>
        <v>115612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588320.08000000007</v>
      </c>
      <c r="G476" s="53">
        <f>(G465+G470)- G474</f>
        <v>578.23999999999069</v>
      </c>
      <c r="H476" s="53">
        <f>(H465+H470)- H474</f>
        <v>1178.5800000000163</v>
      </c>
      <c r="I476" s="53">
        <f>(I465+I470)- I474</f>
        <v>0</v>
      </c>
      <c r="J476" s="53">
        <f>(J465+J470)- J474</f>
        <v>378073.9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275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915</v>
      </c>
      <c r="G491" s="155" t="s">
        <v>917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916</v>
      </c>
      <c r="G492" s="155" t="s">
        <v>918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6476775</v>
      </c>
      <c r="G493" s="18">
        <v>7640000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5.2</v>
      </c>
      <c r="G494" s="18">
        <v>3.4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1280000</v>
      </c>
      <c r="G495" s="18">
        <v>7640000</v>
      </c>
      <c r="H495" s="18"/>
      <c r="I495" s="18"/>
      <c r="J495" s="18"/>
      <c r="K495" s="53">
        <f>SUM(F495:J495)</f>
        <v>8920000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320000</v>
      </c>
      <c r="G497" s="18">
        <v>0</v>
      </c>
      <c r="H497" s="18"/>
      <c r="I497" s="18"/>
      <c r="J497" s="18"/>
      <c r="K497" s="53">
        <f t="shared" si="35"/>
        <v>320000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960000</v>
      </c>
      <c r="G498" s="204">
        <f>G495-G497</f>
        <v>7640000</v>
      </c>
      <c r="H498" s="204"/>
      <c r="I498" s="204"/>
      <c r="J498" s="204"/>
      <c r="K498" s="205">
        <f t="shared" si="35"/>
        <v>8600000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25200+16800*2+8400*2</f>
        <v>75600</v>
      </c>
      <c r="G499" s="18">
        <f>4068483.11-165845*4-191643.11</f>
        <v>3213460</v>
      </c>
      <c r="H499" s="18"/>
      <c r="I499" s="18"/>
      <c r="J499" s="18"/>
      <c r="K499" s="53">
        <f t="shared" si="35"/>
        <v>3289060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1035600</v>
      </c>
      <c r="G500" s="42">
        <f>SUM(G498:G499)</f>
        <v>10853460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11889060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320000</v>
      </c>
      <c r="G501" s="204">
        <v>280000</v>
      </c>
      <c r="H501" s="204"/>
      <c r="I501" s="204"/>
      <c r="J501" s="204"/>
      <c r="K501" s="205">
        <f t="shared" si="35"/>
        <v>600000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25200+16800</f>
        <v>42000</v>
      </c>
      <c r="G502" s="18">
        <f>165845+158705</f>
        <v>324550</v>
      </c>
      <c r="H502" s="18"/>
      <c r="I502" s="18"/>
      <c r="J502" s="18"/>
      <c r="K502" s="53">
        <f t="shared" si="35"/>
        <v>366550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362000</v>
      </c>
      <c r="G503" s="42">
        <f>SUM(G501:G502)</f>
        <v>604550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966550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102213</v>
      </c>
      <c r="G507" s="144">
        <v>50593.65</v>
      </c>
      <c r="H507" s="144"/>
      <c r="I507" s="144">
        <f>F507+G507-H507</f>
        <v>152806.65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297395.67+63.92+91970.23</f>
        <v>389429.81999999995</v>
      </c>
      <c r="G521" s="18">
        <f>94346.21+5.57+34980.19</f>
        <v>129331.97000000002</v>
      </c>
      <c r="H521" s="18">
        <f>1025.35+26505.6+5301.12</f>
        <v>32832.07</v>
      </c>
      <c r="I521" s="18">
        <f>7234.42+0.92+2764.82+640</f>
        <v>10640.16</v>
      </c>
      <c r="J521" s="18">
        <f>1255.07+604.7</f>
        <v>1859.77</v>
      </c>
      <c r="K521" s="18">
        <f>(6876.83+273.17)*0.468</f>
        <v>3346.2000000000003</v>
      </c>
      <c r="L521" s="88">
        <f>SUM(F521:K521)</f>
        <v>567439.99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146470.45</f>
        <v>146470.45000000001</v>
      </c>
      <c r="G522" s="18">
        <f>86226.32</f>
        <v>86226.32</v>
      </c>
      <c r="H522" s="18">
        <f>437.5+133343.73</f>
        <v>133781.23000000001</v>
      </c>
      <c r="I522" s="18">
        <f>673.47</f>
        <v>673.47</v>
      </c>
      <c r="J522" s="18"/>
      <c r="K522" s="18">
        <f>(6876.83+273.17)*0.237</f>
        <v>1694.55</v>
      </c>
      <c r="L522" s="88">
        <f>SUM(F522:K522)</f>
        <v>368846.01999999996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139039.15</f>
        <v>139039.15</v>
      </c>
      <c r="G523" s="18">
        <f>39372.69</f>
        <v>39372.69</v>
      </c>
      <c r="H523" s="18">
        <f>437.5+436705.4</f>
        <v>437142.9</v>
      </c>
      <c r="I523" s="18">
        <f>509.5</f>
        <v>509.5</v>
      </c>
      <c r="J523" s="18">
        <f>169</f>
        <v>169</v>
      </c>
      <c r="K523" s="18">
        <f>(6876.83+273.17)*0.295</f>
        <v>2109.25</v>
      </c>
      <c r="L523" s="88">
        <f>SUM(F523:K523)</f>
        <v>618342.49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674939.42</v>
      </c>
      <c r="G524" s="108">
        <f t="shared" ref="G524:L524" si="36">SUM(G521:G523)</f>
        <v>254930.98000000004</v>
      </c>
      <c r="H524" s="108">
        <f t="shared" si="36"/>
        <v>603756.20000000007</v>
      </c>
      <c r="I524" s="108">
        <f t="shared" si="36"/>
        <v>11823.13</v>
      </c>
      <c r="J524" s="108">
        <f t="shared" si="36"/>
        <v>2028.77</v>
      </c>
      <c r="K524" s="108">
        <f t="shared" si="36"/>
        <v>7150</v>
      </c>
      <c r="L524" s="89">
        <f t="shared" si="36"/>
        <v>1554628.5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129301.8+3198.3+125887.31+3198.3+79217.27</f>
        <v>340802.98</v>
      </c>
      <c r="G526" s="18">
        <f>43836.22+74550.72+611.23+71334.96+611.14</f>
        <v>190944.27000000002</v>
      </c>
      <c r="H526" s="18">
        <f>121534.67+25737.83+203.5+899.64+258.05</f>
        <v>148633.69</v>
      </c>
      <c r="I526" s="18">
        <f>533+246.13</f>
        <v>779.13</v>
      </c>
      <c r="J526" s="18"/>
      <c r="K526" s="18"/>
      <c r="L526" s="88">
        <f>SUM(F526:K526)</f>
        <v>681160.07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f>48944.24+2851+50</f>
        <v>51845.24</v>
      </c>
      <c r="I527" s="18"/>
      <c r="J527" s="18"/>
      <c r="K527" s="18"/>
      <c r="L527" s="88">
        <f>SUM(F527:K527)</f>
        <v>51845.24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34260.04+50</f>
        <v>34310.04</v>
      </c>
      <c r="I528" s="18"/>
      <c r="J528" s="18"/>
      <c r="K528" s="18"/>
      <c r="L528" s="88">
        <f>SUM(F528:K528)</f>
        <v>34310.04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340802.98</v>
      </c>
      <c r="G529" s="89">
        <f t="shared" ref="G529:L529" si="37">SUM(G526:G528)</f>
        <v>190944.27000000002</v>
      </c>
      <c r="H529" s="89">
        <f t="shared" si="37"/>
        <v>234788.97</v>
      </c>
      <c r="I529" s="89">
        <f t="shared" si="37"/>
        <v>779.13</v>
      </c>
      <c r="J529" s="89">
        <f t="shared" si="37"/>
        <v>0</v>
      </c>
      <c r="K529" s="89">
        <f t="shared" si="37"/>
        <v>0</v>
      </c>
      <c r="L529" s="89">
        <f t="shared" si="37"/>
        <v>767315.35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(122161.41+1322.02)*0.468</f>
        <v>57790.245240000004</v>
      </c>
      <c r="G531" s="18">
        <f>(73938.15+252.64)*0.468</f>
        <v>34721.289720000001</v>
      </c>
      <c r="H531" s="18">
        <f>(537.24+228.36+7186.34+91.11)*0.468</f>
        <v>3764.1474000000003</v>
      </c>
      <c r="I531" s="18">
        <f>468.08*0.468</f>
        <v>219.06144</v>
      </c>
      <c r="J531" s="18"/>
      <c r="K531" s="18">
        <f>125*0.468</f>
        <v>58.5</v>
      </c>
      <c r="L531" s="88">
        <f>SUM(F531:K531)</f>
        <v>96553.243800000011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(122161.41+1322.02)*0.237</f>
        <v>29265.572909999999</v>
      </c>
      <c r="G532" s="18">
        <f>(73938.15+252.64)*0.237</f>
        <v>17583.217229999998</v>
      </c>
      <c r="H532" s="18">
        <f>(537.24+228.36+7186.34+91.11)*0.237</f>
        <v>1906.2028499999999</v>
      </c>
      <c r="I532" s="18">
        <f>468.08*0.237</f>
        <v>110.93495999999999</v>
      </c>
      <c r="J532" s="18"/>
      <c r="K532" s="18">
        <f>125*0.237</f>
        <v>29.625</v>
      </c>
      <c r="L532" s="88">
        <f>SUM(F532:K532)</f>
        <v>48895.552949999998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(122161.41+1322.02)*0.295</f>
        <v>36427.611850000001</v>
      </c>
      <c r="G533" s="18">
        <f>(73938.15+252.64)*0.295</f>
        <v>21886.283049999998</v>
      </c>
      <c r="H533" s="18">
        <f>(537.24+228.36+7186.34+91.11)*0.295</f>
        <v>2372.6997499999998</v>
      </c>
      <c r="I533" s="18">
        <f>468.08*0.295</f>
        <v>138.08359999999999</v>
      </c>
      <c r="J533" s="18"/>
      <c r="K533" s="18">
        <f>125*0.295</f>
        <v>36.875</v>
      </c>
      <c r="L533" s="88">
        <f>SUM(F533:K533)</f>
        <v>60861.553249999997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123483.43000000001</v>
      </c>
      <c r="G534" s="89">
        <f t="shared" ref="G534:L534" si="38">SUM(G531:G533)</f>
        <v>74190.789999999994</v>
      </c>
      <c r="H534" s="89">
        <f t="shared" si="38"/>
        <v>8043.05</v>
      </c>
      <c r="I534" s="89">
        <f t="shared" si="38"/>
        <v>468.08</v>
      </c>
      <c r="J534" s="89">
        <f t="shared" si="38"/>
        <v>0</v>
      </c>
      <c r="K534" s="89">
        <f t="shared" si="38"/>
        <v>125</v>
      </c>
      <c r="L534" s="89">
        <f t="shared" si="38"/>
        <v>206310.35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(690.5-154)*0.468</f>
        <v>251.08200000000002</v>
      </c>
      <c r="I536" s="18"/>
      <c r="J536" s="18"/>
      <c r="K536" s="18"/>
      <c r="L536" s="88">
        <f>SUM(F536:K536)</f>
        <v>251.08200000000002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(690.5-154)*0.237</f>
        <v>127.15049999999999</v>
      </c>
      <c r="I537" s="18"/>
      <c r="J537" s="18"/>
      <c r="K537" s="18"/>
      <c r="L537" s="88">
        <f>SUM(F537:K537)</f>
        <v>127.15049999999999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(690.5-154)*0.295</f>
        <v>158.26749999999998</v>
      </c>
      <c r="I538" s="18"/>
      <c r="J538" s="18"/>
      <c r="K538" s="18"/>
      <c r="L538" s="88">
        <f>SUM(F538:K538)</f>
        <v>158.26749999999998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536.5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536.5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11002.06+10620</f>
        <v>21622.059999999998</v>
      </c>
      <c r="I541" s="18"/>
      <c r="J541" s="18"/>
      <c r="K541" s="18"/>
      <c r="L541" s="88">
        <f>SUM(F541:K541)</f>
        <v>21622.059999999998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47350</f>
        <v>47350</v>
      </c>
      <c r="I542" s="18"/>
      <c r="J542" s="18"/>
      <c r="K542" s="18"/>
      <c r="L542" s="88">
        <f>SUM(F542:K542)</f>
        <v>47350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93530+1800</f>
        <v>95330</v>
      </c>
      <c r="I543" s="18"/>
      <c r="J543" s="18"/>
      <c r="K543" s="18"/>
      <c r="L543" s="88">
        <f>SUM(F543:K543)</f>
        <v>95330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164302.06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164302.06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1139225.83</v>
      </c>
      <c r="G545" s="89">
        <f t="shared" ref="G545:L545" si="41">G524+G529+G534+G539+G544</f>
        <v>520066.04000000004</v>
      </c>
      <c r="H545" s="89">
        <f t="shared" si="41"/>
        <v>1011426.78</v>
      </c>
      <c r="I545" s="89">
        <f t="shared" si="41"/>
        <v>13070.339999999998</v>
      </c>
      <c r="J545" s="89">
        <f t="shared" si="41"/>
        <v>2028.77</v>
      </c>
      <c r="K545" s="89">
        <f t="shared" si="41"/>
        <v>7275</v>
      </c>
      <c r="L545" s="89">
        <f t="shared" si="41"/>
        <v>2693092.7600000002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567439.99</v>
      </c>
      <c r="G549" s="87">
        <f>L526</f>
        <v>681160.07</v>
      </c>
      <c r="H549" s="87">
        <f>L531</f>
        <v>96553.243800000011</v>
      </c>
      <c r="I549" s="87">
        <f>L536</f>
        <v>251.08200000000002</v>
      </c>
      <c r="J549" s="87">
        <f>L541</f>
        <v>21622.059999999998</v>
      </c>
      <c r="K549" s="87">
        <f>SUM(F549:J549)</f>
        <v>1367026.4458000001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368846.01999999996</v>
      </c>
      <c r="G550" s="87">
        <f>L527</f>
        <v>51845.24</v>
      </c>
      <c r="H550" s="87">
        <f>L532</f>
        <v>48895.552949999998</v>
      </c>
      <c r="I550" s="87">
        <f>L537</f>
        <v>127.15049999999999</v>
      </c>
      <c r="J550" s="87">
        <f>L542</f>
        <v>47350</v>
      </c>
      <c r="K550" s="87">
        <f>SUM(F550:J550)</f>
        <v>517063.96344999992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618342.49</v>
      </c>
      <c r="G551" s="87">
        <f>L528</f>
        <v>34310.04</v>
      </c>
      <c r="H551" s="87">
        <f>L533</f>
        <v>60861.553249999997</v>
      </c>
      <c r="I551" s="87">
        <f>L538</f>
        <v>158.26749999999998</v>
      </c>
      <c r="J551" s="87">
        <f>L543</f>
        <v>95330</v>
      </c>
      <c r="K551" s="87">
        <f>SUM(F551:J551)</f>
        <v>809002.35074999998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1554628.5</v>
      </c>
      <c r="G552" s="89">
        <f t="shared" si="42"/>
        <v>767315.35</v>
      </c>
      <c r="H552" s="89">
        <f t="shared" si="42"/>
        <v>206310.35</v>
      </c>
      <c r="I552" s="89">
        <f t="shared" si="42"/>
        <v>536.5</v>
      </c>
      <c r="J552" s="89">
        <f t="shared" si="42"/>
        <v>164302.06</v>
      </c>
      <c r="K552" s="89">
        <f t="shared" si="42"/>
        <v>2693092.76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>
        <v>56415.33</v>
      </c>
      <c r="H579" s="18">
        <v>99422.5</v>
      </c>
      <c r="I579" s="87">
        <f t="shared" si="47"/>
        <v>155837.83000000002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26505.6+5301.12</f>
        <v>31806.719999999998</v>
      </c>
      <c r="G582" s="18">
        <v>76928.399999999994</v>
      </c>
      <c r="H582" s="18">
        <v>337282.9</v>
      </c>
      <c r="I582" s="87">
        <f t="shared" si="47"/>
        <v>446018.02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f>5132.78+1493.66</f>
        <v>6626.44</v>
      </c>
      <c r="I584" s="87">
        <f t="shared" si="47"/>
        <v>6626.44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170800+42700</f>
        <v>213500</v>
      </c>
      <c r="I591" s="18"/>
      <c r="J591" s="18"/>
      <c r="K591" s="104">
        <f t="shared" ref="K591:K597" si="48">SUM(H591:J591)</f>
        <v>213500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11002.06+10620</f>
        <v>21622.059999999998</v>
      </c>
      <c r="I592" s="18">
        <v>47350</v>
      </c>
      <c r="J592" s="18">
        <f>93530+1800</f>
        <v>95330</v>
      </c>
      <c r="K592" s="104">
        <f t="shared" si="48"/>
        <v>164302.06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17127</v>
      </c>
      <c r="K593" s="104">
        <f t="shared" si="48"/>
        <v>17127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14732.86</v>
      </c>
      <c r="J594" s="18">
        <v>25472.63</v>
      </c>
      <c r="K594" s="104">
        <f t="shared" si="48"/>
        <v>40205.490000000005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4409.74+617+981.36</f>
        <v>6008.0999999999995</v>
      </c>
      <c r="I595" s="18">
        <v>2078.7199999999998</v>
      </c>
      <c r="J595" s="18">
        <v>5014.71</v>
      </c>
      <c r="K595" s="104">
        <f t="shared" si="48"/>
        <v>13101.529999999999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241130.16</v>
      </c>
      <c r="I598" s="108">
        <f>SUM(I591:I597)</f>
        <v>64161.58</v>
      </c>
      <c r="J598" s="108">
        <f>SUM(J591:J597)</f>
        <v>142944.34</v>
      </c>
      <c r="K598" s="108">
        <f>SUM(K591:K597)</f>
        <v>448236.07999999996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2283.43+280+(2619.99+299.98+214.86)*0.468+279.26+32983+14878.69+5554.49+1388.55-494.99</f>
        <v>58619.530440000002</v>
      </c>
      <c r="I604" s="18">
        <f>6312.56+1736.2+(2619.99+299.98+214.86)*0.237+29866.98+11405.25-568-35.98</f>
        <v>49459.964709999993</v>
      </c>
      <c r="J604" s="18">
        <f>11658.74+2236.2+(2619.99+299.98+214.86)*0.295+32743.49+23596.1-852-53.97</f>
        <v>70253.334849999999</v>
      </c>
      <c r="K604" s="104">
        <f>SUM(H604:J604)</f>
        <v>178332.83000000002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58619.530440000002</v>
      </c>
      <c r="I605" s="108">
        <f>SUM(I602:I604)</f>
        <v>49459.964709999993</v>
      </c>
      <c r="J605" s="108">
        <f>SUM(J602:J604)</f>
        <v>70253.334849999999</v>
      </c>
      <c r="K605" s="108">
        <f>SUM(K602:K604)</f>
        <v>178332.83000000002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4641.2+1201.35</f>
        <v>5842.5499999999993</v>
      </c>
      <c r="G611" s="18">
        <f>355.06+614.27+91.91</f>
        <v>1061.24</v>
      </c>
      <c r="H611" s="18"/>
      <c r="I611" s="18"/>
      <c r="J611" s="18"/>
      <c r="K611" s="18"/>
      <c r="L611" s="88">
        <f>SUM(F611:K611)</f>
        <v>6903.7899999999991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2830.8</f>
        <v>2830.8</v>
      </c>
      <c r="G612" s="18">
        <f>216.55+329.07</f>
        <v>545.62</v>
      </c>
      <c r="H612" s="18"/>
      <c r="I612" s="18"/>
      <c r="J612" s="18"/>
      <c r="K612" s="18"/>
      <c r="L612" s="88">
        <f>SUM(F612:K612)</f>
        <v>3376.42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8673.3499999999985</v>
      </c>
      <c r="G614" s="108">
        <f t="shared" si="49"/>
        <v>1606.8600000000001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10280.209999999999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814250.79</v>
      </c>
      <c r="H617" s="109">
        <f>SUM(F52)</f>
        <v>814250.79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36937.730000000003</v>
      </c>
      <c r="H618" s="109">
        <f>SUM(G52)</f>
        <v>36937.730000000003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22199.200000000001</v>
      </c>
      <c r="H619" s="109">
        <f>SUM(H52)</f>
        <v>22199.199999999997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378073.9</v>
      </c>
      <c r="H621" s="109">
        <f>SUM(J52)</f>
        <v>378073.9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588320.08000000007</v>
      </c>
      <c r="H622" s="109">
        <f>F476</f>
        <v>588320.08000000007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578.23999999999978</v>
      </c>
      <c r="H623" s="109">
        <f>G476</f>
        <v>578.23999999999069</v>
      </c>
      <c r="I623" s="121" t="s">
        <v>102</v>
      </c>
      <c r="J623" s="109">
        <f t="shared" si="50"/>
        <v>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1178.58</v>
      </c>
      <c r="H624" s="109">
        <f>H476</f>
        <v>1178.5800000000163</v>
      </c>
      <c r="I624" s="121" t="s">
        <v>103</v>
      </c>
      <c r="J624" s="109">
        <f t="shared" si="50"/>
        <v>-1.6370904631912708E-11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378073.9</v>
      </c>
      <c r="H626" s="109">
        <f>J476</f>
        <v>378073.9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11901824.900000002</v>
      </c>
      <c r="H627" s="104">
        <f>SUM(F468)</f>
        <v>11901824.9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220458.91999999998</v>
      </c>
      <c r="H628" s="104">
        <f>SUM(G468)</f>
        <v>220458.91999999998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253830.85</v>
      </c>
      <c r="H629" s="104">
        <f>SUM(H468)</f>
        <v>253830.85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3655.01</v>
      </c>
      <c r="H630" s="104">
        <f>SUM(I468)</f>
        <v>3655.01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2534.7000000000003</v>
      </c>
      <c r="H631" s="104">
        <f>SUM(J468)</f>
        <v>2534.7000000000003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11452766.450000003</v>
      </c>
      <c r="H632" s="104">
        <f>SUM(F472)</f>
        <v>11452766.449999999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253890.91</v>
      </c>
      <c r="H633" s="104">
        <f>SUM(H472)</f>
        <v>253890.91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99857.52</v>
      </c>
      <c r="H634" s="104">
        <f>I369</f>
        <v>99857.51999999999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220458.91999999998</v>
      </c>
      <c r="H635" s="104">
        <f>SUM(G472)</f>
        <v>220458.91999999998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254252.25</v>
      </c>
      <c r="H636" s="104">
        <f>SUM(I472)</f>
        <v>254252.25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2534.7000000000003</v>
      </c>
      <c r="H637" s="164">
        <f>SUM(J468)</f>
        <v>2534.7000000000003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115612</v>
      </c>
      <c r="H638" s="164">
        <f>SUM(J472)</f>
        <v>115612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378073.9</v>
      </c>
      <c r="H639" s="104">
        <f>SUM(F461)</f>
        <v>378073.9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378073.9</v>
      </c>
      <c r="H642" s="104">
        <f>SUM(I461)</f>
        <v>378073.9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2995.36</v>
      </c>
      <c r="H644" s="104">
        <f>H408</f>
        <v>2995.36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2534.7000000000003</v>
      </c>
      <c r="H646" s="104">
        <f>L408</f>
        <v>2534.7000000000003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448236.07999999996</v>
      </c>
      <c r="H647" s="104">
        <f>L208+L226+L244</f>
        <v>448236.07999999996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178332.83000000002</v>
      </c>
      <c r="H648" s="104">
        <f>(J257+J338)-(J255+J336)</f>
        <v>178332.83000000002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241130.15999999997</v>
      </c>
      <c r="H649" s="104">
        <f>H598</f>
        <v>241130.16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64161.58</v>
      </c>
      <c r="H650" s="104">
        <f>I598</f>
        <v>64161.58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142944.34</v>
      </c>
      <c r="H651" s="104">
        <f>J598</f>
        <v>142944.34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14265.130000000001</v>
      </c>
      <c r="H652" s="104">
        <f>K263+K345</f>
        <v>14265.130000000001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5321302.7905400014</v>
      </c>
      <c r="G660" s="19">
        <f>(L229+L309+L359)</f>
        <v>2372619.2497000005</v>
      </c>
      <c r="H660" s="19">
        <f>(L247+L328+L360)</f>
        <v>3508439.1097599994</v>
      </c>
      <c r="I660" s="19">
        <f>SUM(F660:H660)</f>
        <v>11202361.150000002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41175.988377579364</v>
      </c>
      <c r="G661" s="19">
        <f>(L359/IF(SUM(L358:L360)=0,1,SUM(L358:L360))*(SUM(G97:G110)))</f>
        <v>31058.757719815461</v>
      </c>
      <c r="H661" s="19">
        <f>(L360/IF(SUM(L358:L360)=0,1,SUM(L358:L360))*(SUM(G97:G110)))</f>
        <v>37051.683902605175</v>
      </c>
      <c r="I661" s="19">
        <f>SUM(F661:H661)</f>
        <v>109286.43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241130.15999999997</v>
      </c>
      <c r="G662" s="19">
        <f>(L226+L306)-(J226+J306)</f>
        <v>64161.58</v>
      </c>
      <c r="H662" s="19">
        <f>(L244+L325)-(J244+J325)</f>
        <v>142944.34</v>
      </c>
      <c r="I662" s="19">
        <f>SUM(F662:H662)</f>
        <v>448236.07999999996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97330.040439999997</v>
      </c>
      <c r="G663" s="199">
        <f>SUM(G575:G587)+SUM(I602:I604)+L612</f>
        <v>186180.11470999999</v>
      </c>
      <c r="H663" s="199">
        <f>SUM(H575:H587)+SUM(J602:J604)+L613</f>
        <v>513585.17485000001</v>
      </c>
      <c r="I663" s="19">
        <f>SUM(F663:H663)</f>
        <v>797095.33000000007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4941666.6017224221</v>
      </c>
      <c r="G664" s="19">
        <f>G660-SUM(G661:G663)</f>
        <v>2091218.7972701851</v>
      </c>
      <c r="H664" s="19">
        <f>H660-SUM(H661:H663)</f>
        <v>2814857.9110073941</v>
      </c>
      <c r="I664" s="19">
        <f>I660-SUM(I661:I663)</f>
        <v>9847743.3100000024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236.61</v>
      </c>
      <c r="G665" s="248">
        <v>136.56</v>
      </c>
      <c r="H665" s="248">
        <v>168.8</v>
      </c>
      <c r="I665" s="19">
        <f>SUM(F665:H665)</f>
        <v>541.97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20885.28</v>
      </c>
      <c r="G667" s="19">
        <f>ROUND(G664/G665,2)</f>
        <v>15313.55</v>
      </c>
      <c r="H667" s="19">
        <f>ROUND(H664/H665,2)</f>
        <v>16675.7</v>
      </c>
      <c r="I667" s="19">
        <f>ROUND(I664/I665,2)</f>
        <v>18170.27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-2.2799999999999998</v>
      </c>
      <c r="I670" s="19">
        <f>SUM(F670:H670)</f>
        <v>-2.2799999999999998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20885.28</v>
      </c>
      <c r="G672" s="19">
        <f>ROUND((G664+G669)/(G665+G670),2)</f>
        <v>15313.55</v>
      </c>
      <c r="H672" s="19">
        <f>ROUND((H664+H669)/(H665+H670),2)</f>
        <v>16904.02</v>
      </c>
      <c r="I672" s="19">
        <f>ROUND((I664+I669)/(I665+I670),2)</f>
        <v>18247.04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8" workbookViewId="0">
      <selection activeCell="B61" sqref="B6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Wilton-Lyndeborough Cooperative SAU63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2851639.1900000004</v>
      </c>
      <c r="C9" s="229">
        <f>'DOE25'!G197+'DOE25'!G215+'DOE25'!G233+'DOE25'!G276+'DOE25'!G295+'DOE25'!G314</f>
        <v>1390094.77</v>
      </c>
    </row>
    <row r="10" spans="1:3" x14ac:dyDescent="0.2">
      <c r="A10" t="s">
        <v>778</v>
      </c>
      <c r="B10" s="240">
        <f>2594722.5</f>
        <v>2594722.5</v>
      </c>
      <c r="C10" s="240">
        <f>1325087.43</f>
        <v>1325087.43</v>
      </c>
    </row>
    <row r="11" spans="1:3" x14ac:dyDescent="0.2">
      <c r="A11" t="s">
        <v>779</v>
      </c>
      <c r="B11" s="240">
        <f>90642.05+49980</f>
        <v>140622.04999999999</v>
      </c>
      <c r="C11" s="240">
        <f>33755.52+25092.75</f>
        <v>58848.27</v>
      </c>
    </row>
    <row r="12" spans="1:3" x14ac:dyDescent="0.2">
      <c r="A12" t="s">
        <v>780</v>
      </c>
      <c r="B12" s="240">
        <f>79494.73+36799.91</f>
        <v>116294.64</v>
      </c>
      <c r="C12" s="240">
        <v>6159.07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2851639.19</v>
      </c>
      <c r="C13" s="231">
        <f>SUM(C10:C12)</f>
        <v>1390094.77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674939.41999999993</v>
      </c>
      <c r="C18" s="229">
        <f>'DOE25'!G198+'DOE25'!G216+'DOE25'!G234+'DOE25'!G277+'DOE25'!G296+'DOE25'!G315</f>
        <v>254930.98000000004</v>
      </c>
    </row>
    <row r="19" spans="1:3" x14ac:dyDescent="0.2">
      <c r="A19" t="s">
        <v>778</v>
      </c>
      <c r="B19" s="240">
        <v>319721.86</v>
      </c>
      <c r="C19" s="240">
        <v>159963.62</v>
      </c>
    </row>
    <row r="20" spans="1:3" x14ac:dyDescent="0.2">
      <c r="A20" t="s">
        <v>779</v>
      </c>
      <c r="B20" s="240">
        <f>346210.29+63.92+8673.35</f>
        <v>354947.55999999994</v>
      </c>
      <c r="C20" s="240">
        <f>93334.26+5.57+1606.86</f>
        <v>94946.69</v>
      </c>
    </row>
    <row r="21" spans="1:3" x14ac:dyDescent="0.2">
      <c r="A21" t="s">
        <v>780</v>
      </c>
      <c r="B21" s="240">
        <v>270</v>
      </c>
      <c r="C21" s="240">
        <v>20.67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674939.41999999993</v>
      </c>
      <c r="C22" s="231">
        <f>SUM(C19:C21)</f>
        <v>254930.98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75827.73000000001</v>
      </c>
      <c r="C36" s="235">
        <f>'DOE25'!G200+'DOE25'!G218+'DOE25'!G236+'DOE25'!G279+'DOE25'!G298+'DOE25'!G317</f>
        <v>12968.62</v>
      </c>
    </row>
    <row r="37" spans="1:3" x14ac:dyDescent="0.2">
      <c r="A37" t="s">
        <v>778</v>
      </c>
      <c r="B37" s="240">
        <f>9444.4+18894.33-121.73-1600-550+2225+6048.08+2728+9071.92</f>
        <v>46140</v>
      </c>
      <c r="C37" s="240">
        <f>683.54+1369.12-34.1-7.97-1.77-7.54-19.27-82.34+160.45+1479.94+2604.77+191.96+12.38+14.75+374.93+87.64+169.14+39.56+562.4+131.55+947.7+1849.14</f>
        <v>10525.980000000001</v>
      </c>
    </row>
    <row r="38" spans="1:3" x14ac:dyDescent="0.2">
      <c r="A38" t="s">
        <v>779</v>
      </c>
      <c r="B38" s="240">
        <f>1100+500+121.73</f>
        <v>1721.73</v>
      </c>
      <c r="C38" s="240">
        <f>82.34+19.27+7.54+1.77+192.32</f>
        <v>303.24</v>
      </c>
    </row>
    <row r="39" spans="1:3" x14ac:dyDescent="0.2">
      <c r="A39" t="s">
        <v>780</v>
      </c>
      <c r="B39" s="240">
        <f>550+14072.28-6048.08+31191.72-2728-9071.92</f>
        <v>27966</v>
      </c>
      <c r="C39" s="240">
        <f>34.1+7.97+1076.43-87.64-374.93+2386.12-131.55-562.4-39.56-169.14</f>
        <v>2139.3999999999996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75827.73000000001</v>
      </c>
      <c r="C40" s="231">
        <f>SUM(C37:C39)</f>
        <v>12968.62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1" activePane="bottomLeft" state="frozen"/>
      <selection activeCell="F46" sqref="F46"/>
      <selection pane="bottomLeft" activeCell="F39" sqref="F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5" t="str">
        <f>'DOE25'!A2</f>
        <v>Wilton-Lyndeborough Cooperative SAU63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6176972.9100000001</v>
      </c>
      <c r="D5" s="20">
        <f>SUM('DOE25'!L197:L200)+SUM('DOE25'!L215:L218)+SUM('DOE25'!L233:L236)-F5-G5</f>
        <v>5997895.2400000002</v>
      </c>
      <c r="E5" s="243"/>
      <c r="F5" s="255">
        <f>SUM('DOE25'!J197:J200)+SUM('DOE25'!J215:J218)+SUM('DOE25'!J233:J236)</f>
        <v>158205.51</v>
      </c>
      <c r="G5" s="53">
        <f>SUM('DOE25'!K197:K200)+SUM('DOE25'!K215:K218)+SUM('DOE25'!K233:K236)</f>
        <v>20872.16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1418963.95</v>
      </c>
      <c r="D6" s="20">
        <f>'DOE25'!L202+'DOE25'!L220+'DOE25'!L238-F6-G6</f>
        <v>1416221.18</v>
      </c>
      <c r="E6" s="243"/>
      <c r="F6" s="255">
        <f>'DOE25'!J202+'DOE25'!J220+'DOE25'!J238</f>
        <v>1675.77</v>
      </c>
      <c r="G6" s="53">
        <f>'DOE25'!K202+'DOE25'!K220+'DOE25'!K238</f>
        <v>1067</v>
      </c>
      <c r="H6" s="259"/>
    </row>
    <row r="7" spans="1:9" x14ac:dyDescent="0.2">
      <c r="A7" s="32">
        <v>2200</v>
      </c>
      <c r="B7" t="s">
        <v>833</v>
      </c>
      <c r="C7" s="245">
        <f t="shared" si="0"/>
        <v>189007.99</v>
      </c>
      <c r="D7" s="20">
        <f>'DOE25'!L203+'DOE25'!L221+'DOE25'!L239-F7-G7</f>
        <v>186169.50999999998</v>
      </c>
      <c r="E7" s="243"/>
      <c r="F7" s="255">
        <f>'DOE25'!J203+'DOE25'!J221+'DOE25'!J239</f>
        <v>2793.48</v>
      </c>
      <c r="G7" s="53">
        <f>'DOE25'!K203+'DOE25'!K221+'DOE25'!K239</f>
        <v>45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241429.49000000005</v>
      </c>
      <c r="D8" s="243"/>
      <c r="E8" s="20">
        <f>'DOE25'!L204+'DOE25'!L222+'DOE25'!L240-F8-G8-D9-D11</f>
        <v>229424.05000000005</v>
      </c>
      <c r="F8" s="255">
        <f>'DOE25'!J204+'DOE25'!J222+'DOE25'!J240</f>
        <v>214.86</v>
      </c>
      <c r="G8" s="53">
        <f>'DOE25'!K204+'DOE25'!K222+'DOE25'!K240</f>
        <v>11790.580000000002</v>
      </c>
      <c r="H8" s="259"/>
    </row>
    <row r="9" spans="1:9" x14ac:dyDescent="0.2">
      <c r="A9" s="32">
        <v>2310</v>
      </c>
      <c r="B9" t="s">
        <v>817</v>
      </c>
      <c r="C9" s="245">
        <f t="shared" si="0"/>
        <v>7418.26</v>
      </c>
      <c r="D9" s="244">
        <f>538.25+6823.01+57</f>
        <v>7418.26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15150</v>
      </c>
      <c r="D10" s="243"/>
      <c r="E10" s="244">
        <v>15150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214204.19</v>
      </c>
      <c r="D11" s="244">
        <v>214204.19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764864.25</v>
      </c>
      <c r="D12" s="20">
        <f>'DOE25'!L205+'DOE25'!L223+'DOE25'!L241-F12-G12</f>
        <v>745899.72</v>
      </c>
      <c r="E12" s="243"/>
      <c r="F12" s="255">
        <f>'DOE25'!J205+'DOE25'!J223+'DOE25'!J241</f>
        <v>4055.4200000000005</v>
      </c>
      <c r="G12" s="53">
        <f>'DOE25'!K205+'DOE25'!K223+'DOE25'!K241</f>
        <v>14909.11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317244.93</v>
      </c>
      <c r="D13" s="243"/>
      <c r="E13" s="20">
        <f>'DOE25'!L206+'DOE25'!L224+'DOE25'!L242-F13-G13</f>
        <v>297971.08</v>
      </c>
      <c r="F13" s="255">
        <f>'DOE25'!J206+'DOE25'!J224+'DOE25'!J242</f>
        <v>2619.9899999999998</v>
      </c>
      <c r="G13" s="53">
        <f>'DOE25'!K206+'DOE25'!K224+'DOE25'!K242</f>
        <v>16653.86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750173.23</v>
      </c>
      <c r="D14" s="20">
        <f>'DOE25'!L207+'DOE25'!L225+'DOE25'!L243-F14-G14</f>
        <v>743975.76</v>
      </c>
      <c r="E14" s="243"/>
      <c r="F14" s="255">
        <f>'DOE25'!J207+'DOE25'!J225+'DOE25'!J243</f>
        <v>6197.47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448236.07999999996</v>
      </c>
      <c r="D15" s="20">
        <f>'DOE25'!L208+'DOE25'!L226+'DOE25'!L244-F15-G15</f>
        <v>448236.07999999996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199496.04</v>
      </c>
      <c r="D16" s="243"/>
      <c r="E16" s="20">
        <f>'DOE25'!L209+'DOE25'!L227+'DOE25'!L245-F16-G16</f>
        <v>196925.71000000002</v>
      </c>
      <c r="F16" s="255">
        <f>'DOE25'!J209+'DOE25'!J227+'DOE25'!J245</f>
        <v>2570.33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710490</v>
      </c>
      <c r="D25" s="243"/>
      <c r="E25" s="243"/>
      <c r="F25" s="258"/>
      <c r="G25" s="256"/>
      <c r="H25" s="257">
        <f>'DOE25'!L260+'DOE25'!L261+'DOE25'!L341+'DOE25'!L342</f>
        <v>710490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129559.51999999999</v>
      </c>
      <c r="D29" s="20">
        <f>'DOE25'!L358+'DOE25'!L359+'DOE25'!L360-'DOE25'!I367-F29-G29</f>
        <v>128462.43999999999</v>
      </c>
      <c r="E29" s="243"/>
      <c r="F29" s="255">
        <f>'DOE25'!J358+'DOE25'!J359+'DOE25'!J360</f>
        <v>809.39</v>
      </c>
      <c r="G29" s="53">
        <f>'DOE25'!K358+'DOE25'!K359+'DOE25'!K360</f>
        <v>287.69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253890.91</v>
      </c>
      <c r="D31" s="20">
        <f>'DOE25'!L290+'DOE25'!L309+'DOE25'!L328+'DOE25'!L333+'DOE25'!L334+'DOE25'!L335-F31-G31</f>
        <v>253890.91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10142373.289999999</v>
      </c>
      <c r="E33" s="246">
        <f>SUM(E5:E31)</f>
        <v>739470.84000000008</v>
      </c>
      <c r="F33" s="246">
        <f>SUM(F5:F31)</f>
        <v>179142.22</v>
      </c>
      <c r="G33" s="246">
        <f>SUM(G5:G31)</f>
        <v>65625.400000000009</v>
      </c>
      <c r="H33" s="246">
        <f>SUM(H5:H31)</f>
        <v>710490</v>
      </c>
    </row>
    <row r="35" spans="2:8" ht="12" thickBot="1" x14ac:dyDescent="0.25">
      <c r="B35" s="253" t="s">
        <v>846</v>
      </c>
      <c r="D35" s="254">
        <f>E33</f>
        <v>739470.84000000008</v>
      </c>
      <c r="E35" s="249"/>
    </row>
    <row r="36" spans="2:8" ht="12" thickTop="1" x14ac:dyDescent="0.2">
      <c r="B36" t="s">
        <v>814</v>
      </c>
      <c r="D36" s="20">
        <f>D33</f>
        <v>10142373.289999999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SAU63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704647.19</v>
      </c>
      <c r="D8" s="95">
        <f>'DOE25'!G9</f>
        <v>15163.6</v>
      </c>
      <c r="E8" s="95">
        <f>'DOE25'!H9</f>
        <v>0</v>
      </c>
      <c r="F8" s="95">
        <f>'DOE25'!I9</f>
        <v>0</v>
      </c>
      <c r="G8" s="95">
        <f>'DOE25'!J9</f>
        <v>378073.9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54548.1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28635.040000000001</v>
      </c>
      <c r="D12" s="95">
        <f>'DOE25'!G13</f>
        <v>5329.92</v>
      </c>
      <c r="E12" s="95">
        <f>'DOE25'!H13</f>
        <v>22199.200000000001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11354.67</v>
      </c>
      <c r="D13" s="95">
        <f>'DOE25'!G14</f>
        <v>6149.49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7608.72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15065.79</v>
      </c>
      <c r="D16" s="95">
        <f>'DOE25'!G17</f>
        <v>2686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814250.79</v>
      </c>
      <c r="D18" s="41">
        <f>SUM(D8:D17)</f>
        <v>36937.730000000003</v>
      </c>
      <c r="E18" s="41">
        <f>SUM(E8:E17)</f>
        <v>22199.200000000001</v>
      </c>
      <c r="F18" s="41">
        <f>SUM(F8:F17)</f>
        <v>0</v>
      </c>
      <c r="G18" s="41">
        <f>SUM(G8:G17)</f>
        <v>378073.9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33527.480000000003</v>
      </c>
      <c r="E21" s="95">
        <f>'DOE25'!H22</f>
        <v>21020.62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38406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44067.82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143456.88999999998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2832.01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225930.71</v>
      </c>
      <c r="D31" s="41">
        <f>SUM(D21:D30)</f>
        <v>36359.490000000005</v>
      </c>
      <c r="E31" s="41">
        <f>SUM(E21:E30)</f>
        <v>21020.62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7608.72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182889.2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378073.9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-7030.4800000000005</v>
      </c>
      <c r="E47" s="95">
        <f>'DOE25'!H48</f>
        <v>1178.58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405430.88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588320.08000000007</v>
      </c>
      <c r="D50" s="41">
        <f>SUM(D34:D49)</f>
        <v>578.23999999999978</v>
      </c>
      <c r="E50" s="41">
        <f>SUM(E34:E49)</f>
        <v>1178.58</v>
      </c>
      <c r="F50" s="41">
        <f>SUM(F34:F49)</f>
        <v>0</v>
      </c>
      <c r="G50" s="41">
        <f>SUM(G34:G49)</f>
        <v>378073.9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814250.79</v>
      </c>
      <c r="D51" s="41">
        <f>D50+D31</f>
        <v>36937.730000000003</v>
      </c>
      <c r="E51" s="41">
        <f>E50+E31</f>
        <v>22199.199999999997</v>
      </c>
      <c r="F51" s="41">
        <f>F50+F31</f>
        <v>0</v>
      </c>
      <c r="G51" s="41">
        <f>G50+G31</f>
        <v>378073.9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8612541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51119.58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3655.01</v>
      </c>
      <c r="G59" s="95">
        <f>'DOE25'!J96</f>
        <v>2995.36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109286.43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33791.68</v>
      </c>
      <c r="D61" s="95">
        <f>SUM('DOE25'!G98:G110)</f>
        <v>0</v>
      </c>
      <c r="E61" s="95">
        <f>SUM('DOE25'!H98:H110)</f>
        <v>2046.9699999999998</v>
      </c>
      <c r="F61" s="95">
        <f>SUM('DOE25'!I98:I110)</f>
        <v>0</v>
      </c>
      <c r="G61" s="95">
        <f>SUM('DOE25'!J98:J110)</f>
        <v>-460.66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84911.260000000009</v>
      </c>
      <c r="D62" s="130">
        <f>SUM(D57:D61)</f>
        <v>109286.43</v>
      </c>
      <c r="E62" s="130">
        <f>SUM(E57:E61)</f>
        <v>2046.9699999999998</v>
      </c>
      <c r="F62" s="130">
        <f>SUM(F57:F61)</f>
        <v>3655.01</v>
      </c>
      <c r="G62" s="130">
        <f>SUM(G57:G61)</f>
        <v>2534.7000000000003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8697452.2599999998</v>
      </c>
      <c r="D63" s="22">
        <f>D56+D62</f>
        <v>109286.43</v>
      </c>
      <c r="E63" s="22">
        <f>E56+E62</f>
        <v>2046.9699999999998</v>
      </c>
      <c r="F63" s="22">
        <f>F56+F62</f>
        <v>3655.01</v>
      </c>
      <c r="G63" s="22">
        <f>G56+G62</f>
        <v>2534.7000000000003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1337372.1299999999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1202139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1318.2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2540829.33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128000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157378.37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3077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2899.33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288455.37</v>
      </c>
      <c r="D78" s="130">
        <f>SUM(D72:D77)</f>
        <v>2899.33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2829284.7</v>
      </c>
      <c r="D81" s="130">
        <f>SUM(D79:D80)+D78+D70</f>
        <v>2899.33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2494.88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108216.88</v>
      </c>
      <c r="D88" s="95">
        <f>SUM('DOE25'!G153:G161)</f>
        <v>94008.03</v>
      </c>
      <c r="E88" s="95">
        <f>SUM('DOE25'!H153:H161)</f>
        <v>249289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108216.88</v>
      </c>
      <c r="D91" s="131">
        <f>SUM(D85:D90)</f>
        <v>94008.03</v>
      </c>
      <c r="E91" s="131">
        <f>SUM(E85:E90)</f>
        <v>251783.88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14265.130000000001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164109.06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102762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266871.06</v>
      </c>
      <c r="D103" s="86">
        <f>SUM(D93:D102)</f>
        <v>14265.130000000001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11901824.900000002</v>
      </c>
      <c r="D104" s="86">
        <f>D63+D81+D91+D103</f>
        <v>220458.91999999998</v>
      </c>
      <c r="E104" s="86">
        <f>E63+E81+E91+E103</f>
        <v>253830.85</v>
      </c>
      <c r="F104" s="86">
        <f>F63+F81+F91+F103</f>
        <v>3655.01</v>
      </c>
      <c r="G104" s="86">
        <f>G63+G81+G103</f>
        <v>2534.7000000000003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4458482.24</v>
      </c>
      <c r="D109" s="24" t="s">
        <v>288</v>
      </c>
      <c r="E109" s="95">
        <f>('DOE25'!L276)+('DOE25'!L295)+('DOE25'!L314)</f>
        <v>112417.64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1554628.5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-2515.4499999999998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166377.62</v>
      </c>
      <c r="D112" s="24" t="s">
        <v>288</v>
      </c>
      <c r="E112" s="95">
        <f>+('DOE25'!L279)+('DOE25'!L298)+('DOE25'!L317)</f>
        <v>762.8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6176972.9100000001</v>
      </c>
      <c r="D115" s="86">
        <f>SUM(D109:D114)</f>
        <v>0</v>
      </c>
      <c r="E115" s="86">
        <f>SUM(E109:E114)</f>
        <v>113180.44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1418963.95</v>
      </c>
      <c r="D118" s="24" t="s">
        <v>288</v>
      </c>
      <c r="E118" s="95">
        <f>+('DOE25'!L281)+('DOE25'!L300)+('DOE25'!L319)</f>
        <v>108997.92000000001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189007.99</v>
      </c>
      <c r="D119" s="24" t="s">
        <v>288</v>
      </c>
      <c r="E119" s="95">
        <f>+('DOE25'!L282)+('DOE25'!L301)+('DOE25'!L320)</f>
        <v>27224.049999999996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463051.94000000006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764864.25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317244.93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750173.23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448236.07999999996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199496.04</v>
      </c>
      <c r="D125" s="24" t="s">
        <v>288</v>
      </c>
      <c r="E125" s="95">
        <f>+('DOE25'!L288)+('DOE25'!L307)+('DOE25'!L326)</f>
        <v>4488.5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220458.91999999998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4551038.41</v>
      </c>
      <c r="D128" s="86">
        <f>SUM(D118:D127)</f>
        <v>220458.91999999998</v>
      </c>
      <c r="E128" s="86">
        <f>SUM(E118:E127)</f>
        <v>140710.47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90143.19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320000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390490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164109.06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14265.130000000001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2534.7000000000003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-2534.7000000000003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724755.13</v>
      </c>
      <c r="D144" s="141">
        <f>SUM(D130:D143)</f>
        <v>0</v>
      </c>
      <c r="E144" s="141">
        <f>SUM(E130:E143)</f>
        <v>0</v>
      </c>
      <c r="F144" s="141">
        <f>SUM(F130:F143)</f>
        <v>254252.25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11452766.450000001</v>
      </c>
      <c r="D145" s="86">
        <f>(D115+D128+D144)</f>
        <v>220458.91999999998</v>
      </c>
      <c r="E145" s="86">
        <f>(E115+E128+E144)</f>
        <v>253890.91</v>
      </c>
      <c r="F145" s="86">
        <f>(F115+F128+F144)</f>
        <v>254252.25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07/99</v>
      </c>
      <c r="C152" s="152" t="str">
        <f>'DOE25'!G491</f>
        <v>07/14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08/34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6476775</v>
      </c>
      <c r="C154" s="137">
        <f>'DOE25'!G493</f>
        <v>7640000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1280000</v>
      </c>
      <c r="C156" s="137">
        <f>'DOE25'!G495</f>
        <v>7640000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8920000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320000</v>
      </c>
    </row>
    <row r="159" spans="1:9" x14ac:dyDescent="0.2">
      <c r="A159" s="22" t="s">
        <v>35</v>
      </c>
      <c r="B159" s="137">
        <f>'DOE25'!F498</f>
        <v>960000</v>
      </c>
      <c r="C159" s="137">
        <f>'DOE25'!G498</f>
        <v>7640000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8600000</v>
      </c>
    </row>
    <row r="160" spans="1:9" x14ac:dyDescent="0.2">
      <c r="A160" s="22" t="s">
        <v>36</v>
      </c>
      <c r="B160" s="137">
        <f>'DOE25'!F499</f>
        <v>75600</v>
      </c>
      <c r="C160" s="137">
        <f>'DOE25'!G499</f>
        <v>3213460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3289060</v>
      </c>
    </row>
    <row r="161" spans="1:7" x14ac:dyDescent="0.2">
      <c r="A161" s="22" t="s">
        <v>37</v>
      </c>
      <c r="B161" s="137">
        <f>'DOE25'!F500</f>
        <v>1035600</v>
      </c>
      <c r="C161" s="137">
        <f>'DOE25'!G500</f>
        <v>10853460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11889060</v>
      </c>
    </row>
    <row r="162" spans="1:7" x14ac:dyDescent="0.2">
      <c r="A162" s="22" t="s">
        <v>38</v>
      </c>
      <c r="B162" s="137">
        <f>'DOE25'!F501</f>
        <v>320000</v>
      </c>
      <c r="C162" s="137">
        <f>'DOE25'!G501</f>
        <v>280000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600000</v>
      </c>
    </row>
    <row r="163" spans="1:7" x14ac:dyDescent="0.2">
      <c r="A163" s="22" t="s">
        <v>39</v>
      </c>
      <c r="B163" s="137">
        <f>'DOE25'!F502</f>
        <v>42000</v>
      </c>
      <c r="C163" s="137">
        <f>'DOE25'!G502</f>
        <v>324550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366550</v>
      </c>
    </row>
    <row r="164" spans="1:7" x14ac:dyDescent="0.2">
      <c r="A164" s="22" t="s">
        <v>246</v>
      </c>
      <c r="B164" s="137">
        <f>'DOE25'!F503</f>
        <v>362000</v>
      </c>
      <c r="C164" s="137">
        <f>'DOE25'!G503</f>
        <v>604550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966550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Wilton-Lyndeborough Cooperative SAU63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20885</v>
      </c>
    </row>
    <row r="5" spans="1:4" x14ac:dyDescent="0.2">
      <c r="B5" t="s">
        <v>703</v>
      </c>
      <c r="C5" s="179">
        <f>IF('DOE25'!G665+'DOE25'!G670=0,0,ROUND('DOE25'!G672,0))</f>
        <v>15314</v>
      </c>
    </row>
    <row r="6" spans="1:4" x14ac:dyDescent="0.2">
      <c r="B6" t="s">
        <v>62</v>
      </c>
      <c r="C6" s="179">
        <f>IF('DOE25'!H665+'DOE25'!H670=0,0,ROUND('DOE25'!H672,0))</f>
        <v>16904</v>
      </c>
    </row>
    <row r="7" spans="1:4" x14ac:dyDescent="0.2">
      <c r="B7" t="s">
        <v>704</v>
      </c>
      <c r="C7" s="179">
        <f>IF('DOE25'!I665+'DOE25'!I670=0,0,ROUND('DOE25'!I672,0))</f>
        <v>18247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4570900</v>
      </c>
      <c r="D10" s="182">
        <f>ROUND((C10/$C$28)*100,1)</f>
        <v>39.799999999999997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1554629</v>
      </c>
      <c r="D11" s="182">
        <f>ROUND((C11/$C$28)*100,1)</f>
        <v>13.5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-2515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167140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1527962</v>
      </c>
      <c r="D15" s="182">
        <f t="shared" ref="D15:D27" si="0">ROUND((C15/$C$28)*100,1)</f>
        <v>13.3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216232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667036</v>
      </c>
      <c r="D17" s="182">
        <f t="shared" si="0"/>
        <v>5.8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764864</v>
      </c>
      <c r="D18" s="182">
        <f t="shared" si="0"/>
        <v>6.7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317245</v>
      </c>
      <c r="D19" s="182">
        <f t="shared" si="0"/>
        <v>2.8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750173</v>
      </c>
      <c r="D20" s="182">
        <f t="shared" si="0"/>
        <v>6.5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448236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390490</v>
      </c>
      <c r="D25" s="182">
        <f t="shared" si="0"/>
        <v>3.4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111172.57</v>
      </c>
      <c r="D27" s="182">
        <f t="shared" si="0"/>
        <v>1</v>
      </c>
    </row>
    <row r="28" spans="1:4" x14ac:dyDescent="0.2">
      <c r="B28" s="187" t="s">
        <v>722</v>
      </c>
      <c r="C28" s="180">
        <f>SUM(C10:C27)</f>
        <v>11483564.57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90143</v>
      </c>
    </row>
    <row r="30" spans="1:4" x14ac:dyDescent="0.2">
      <c r="B30" s="187" t="s">
        <v>728</v>
      </c>
      <c r="C30" s="180">
        <f>SUM(C28:C29)</f>
        <v>11573707.57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320000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8612541</v>
      </c>
      <c r="D35" s="182">
        <f t="shared" ref="D35:D40" si="1">ROUND((C35/$C$41)*100,1)</f>
        <v>71.8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93147.939999999478</v>
      </c>
      <c r="D36" s="182">
        <f t="shared" si="1"/>
        <v>0.8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2539511</v>
      </c>
      <c r="D37" s="182">
        <f t="shared" si="1"/>
        <v>21.2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292673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454009</v>
      </c>
      <c r="D39" s="182">
        <f t="shared" si="1"/>
        <v>3.8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11991881.939999999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769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766</v>
      </c>
      <c r="B2" s="302"/>
      <c r="C2" s="302"/>
      <c r="D2" s="302"/>
      <c r="E2" s="302"/>
      <c r="F2" s="299" t="str">
        <f>'DOE25'!A2</f>
        <v>Wilton-Lyndeborough Cooperative SAU63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7" t="s">
        <v>770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847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2017-10-12T14:59:37Z</cp:lastPrinted>
  <dcterms:created xsi:type="dcterms:W3CDTF">1997-12-04T19:04:30Z</dcterms:created>
  <dcterms:modified xsi:type="dcterms:W3CDTF">2017-11-29T18:09:00Z</dcterms:modified>
</cp:coreProperties>
</file>