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D50" i="2" s="1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C12" i="10" s="1"/>
  <c r="L200" i="1"/>
  <c r="C112" i="2" s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L226" i="1"/>
  <c r="L244" i="1"/>
  <c r="H662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20" i="10"/>
  <c r="L250" i="1"/>
  <c r="L332" i="1"/>
  <c r="L254" i="1"/>
  <c r="L268" i="1"/>
  <c r="L269" i="1"/>
  <c r="L349" i="1"/>
  <c r="C26" i="10" s="1"/>
  <c r="L350" i="1"/>
  <c r="I665" i="1"/>
  <c r="I670" i="1"/>
  <c r="G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K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1" i="2"/>
  <c r="E112" i="2"/>
  <c r="C113" i="2"/>
  <c r="E113" i="2"/>
  <c r="C114" i="2"/>
  <c r="D115" i="2"/>
  <c r="F115" i="2"/>
  <c r="G115" i="2"/>
  <c r="E119" i="2"/>
  <c r="E120" i="2"/>
  <c r="E121" i="2"/>
  <c r="C123" i="2"/>
  <c r="E123" i="2"/>
  <c r="E124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F461" i="1" s="1"/>
  <c r="H639" i="1" s="1"/>
  <c r="G460" i="1"/>
  <c r="H460" i="1"/>
  <c r="I460" i="1"/>
  <c r="I461" i="1" s="1"/>
  <c r="H642" i="1" s="1"/>
  <c r="G461" i="1"/>
  <c r="H640" i="1" s="1"/>
  <c r="H461" i="1"/>
  <c r="F470" i="1"/>
  <c r="G470" i="1"/>
  <c r="H470" i="1"/>
  <c r="I470" i="1"/>
  <c r="I476" i="1" s="1"/>
  <c r="H625" i="1" s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G640" i="1"/>
  <c r="G641" i="1"/>
  <c r="J641" i="1" s="1"/>
  <c r="H641" i="1"/>
  <c r="G643" i="1"/>
  <c r="J643" i="1" s="1"/>
  <c r="H643" i="1"/>
  <c r="G644" i="1"/>
  <c r="G645" i="1"/>
  <c r="G650" i="1"/>
  <c r="G652" i="1"/>
  <c r="H652" i="1"/>
  <c r="G653" i="1"/>
  <c r="H653" i="1"/>
  <c r="G654" i="1"/>
  <c r="H654" i="1"/>
  <c r="H655" i="1"/>
  <c r="J655" i="1" s="1"/>
  <c r="F192" i="1"/>
  <c r="L328" i="1"/>
  <c r="A31" i="12"/>
  <c r="F78" i="2"/>
  <c r="C78" i="2"/>
  <c r="G161" i="2"/>
  <c r="D91" i="2"/>
  <c r="D19" i="13"/>
  <c r="C19" i="13" s="1"/>
  <c r="E78" i="2"/>
  <c r="H112" i="1"/>
  <c r="L419" i="1"/>
  <c r="I169" i="1"/>
  <c r="J476" i="1"/>
  <c r="H626" i="1" s="1"/>
  <c r="G476" i="1"/>
  <c r="H623" i="1" s="1"/>
  <c r="J140" i="1"/>
  <c r="K550" i="1"/>
  <c r="G22" i="2"/>
  <c r="J552" i="1"/>
  <c r="H140" i="1"/>
  <c r="F22" i="13"/>
  <c r="C22" i="13" s="1"/>
  <c r="H192" i="1"/>
  <c r="L570" i="1"/>
  <c r="I571" i="1"/>
  <c r="G36" i="2"/>
  <c r="A13" i="12" l="1"/>
  <c r="C10" i="10"/>
  <c r="D5" i="13"/>
  <c r="C5" i="13" s="1"/>
  <c r="J617" i="1"/>
  <c r="H52" i="1"/>
  <c r="H619" i="1" s="1"/>
  <c r="J619" i="1" s="1"/>
  <c r="E31" i="2"/>
  <c r="K598" i="1"/>
  <c r="G647" i="1" s="1"/>
  <c r="H545" i="1"/>
  <c r="L524" i="1"/>
  <c r="K549" i="1"/>
  <c r="K552" i="1" s="1"/>
  <c r="I545" i="1"/>
  <c r="G545" i="1"/>
  <c r="H476" i="1"/>
  <c r="H624" i="1" s="1"/>
  <c r="J624" i="1" s="1"/>
  <c r="E110" i="2"/>
  <c r="C16" i="10"/>
  <c r="E16" i="13"/>
  <c r="C16" i="13" s="1"/>
  <c r="C17" i="10"/>
  <c r="C18" i="10"/>
  <c r="D7" i="13"/>
  <c r="C7" i="13" s="1"/>
  <c r="C119" i="2"/>
  <c r="H257" i="1"/>
  <c r="H271" i="1" s="1"/>
  <c r="L211" i="1"/>
  <c r="C13" i="10"/>
  <c r="J623" i="1"/>
  <c r="D31" i="2"/>
  <c r="D51" i="2" s="1"/>
  <c r="J622" i="1"/>
  <c r="C18" i="2"/>
  <c r="G157" i="2"/>
  <c r="H408" i="1"/>
  <c r="H644" i="1" s="1"/>
  <c r="J644" i="1" s="1"/>
  <c r="D29" i="13"/>
  <c r="C29" i="13" s="1"/>
  <c r="L362" i="1"/>
  <c r="H661" i="1"/>
  <c r="G651" i="1"/>
  <c r="J651" i="1" s="1"/>
  <c r="C21" i="10"/>
  <c r="L247" i="1"/>
  <c r="F112" i="1"/>
  <c r="J640" i="1"/>
  <c r="J639" i="1"/>
  <c r="J645" i="1"/>
  <c r="K271" i="1"/>
  <c r="C132" i="2"/>
  <c r="L270" i="1"/>
  <c r="J634" i="1"/>
  <c r="E128" i="2"/>
  <c r="J625" i="1"/>
  <c r="H660" i="1"/>
  <c r="H664" i="1" s="1"/>
  <c r="H667" i="1" s="1"/>
  <c r="C81" i="2"/>
  <c r="E8" i="13"/>
  <c r="C8" i="13" s="1"/>
  <c r="D12" i="13"/>
  <c r="C12" i="13" s="1"/>
  <c r="L290" i="1"/>
  <c r="L338" i="1" s="1"/>
  <c r="L352" i="1" s="1"/>
  <c r="G633" i="1" s="1"/>
  <c r="J633" i="1" s="1"/>
  <c r="I271" i="1"/>
  <c r="L539" i="1"/>
  <c r="K503" i="1"/>
  <c r="L382" i="1"/>
  <c r="G636" i="1" s="1"/>
  <c r="J636" i="1" s="1"/>
  <c r="K352" i="1"/>
  <c r="E109" i="2"/>
  <c r="C62" i="2"/>
  <c r="F661" i="1"/>
  <c r="I661" i="1" s="1"/>
  <c r="C19" i="10"/>
  <c r="C15" i="10"/>
  <c r="E13" i="13"/>
  <c r="C13" i="13" s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F81" i="2"/>
  <c r="L351" i="1"/>
  <c r="H647" i="1"/>
  <c r="J647" i="1" s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667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E51" i="2" l="1"/>
  <c r="E115" i="2"/>
  <c r="E145" i="2" s="1"/>
  <c r="C128" i="2"/>
  <c r="C145" i="2" s="1"/>
  <c r="F660" i="1"/>
  <c r="I660" i="1" s="1"/>
  <c r="I664" i="1" s="1"/>
  <c r="I672" i="1" s="1"/>
  <c r="C7" i="10" s="1"/>
  <c r="L257" i="1"/>
  <c r="L271" i="1" s="1"/>
  <c r="G632" i="1" s="1"/>
  <c r="J632" i="1" s="1"/>
  <c r="C36" i="10"/>
  <c r="F193" i="1"/>
  <c r="G627" i="1" s="1"/>
  <c r="J627" i="1" s="1"/>
  <c r="H672" i="1"/>
  <c r="C6" i="10" s="1"/>
  <c r="C28" i="10"/>
  <c r="D22" i="10" s="1"/>
  <c r="C25" i="13"/>
  <c r="H33" i="13"/>
  <c r="D31" i="13"/>
  <c r="C31" i="13" s="1"/>
  <c r="H648" i="1"/>
  <c r="J648" i="1" s="1"/>
  <c r="G104" i="2"/>
  <c r="C63" i="2"/>
  <c r="C104" i="2" s="1"/>
  <c r="E33" i="13"/>
  <c r="D35" i="13" s="1"/>
  <c r="L408" i="1"/>
  <c r="L545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F664" i="1" l="1"/>
  <c r="F672" i="1" s="1"/>
  <c r="C4" i="10" s="1"/>
  <c r="D24" i="10"/>
  <c r="D20" i="10"/>
  <c r="D23" i="10"/>
  <c r="D26" i="10"/>
  <c r="D11" i="10"/>
  <c r="C30" i="10"/>
  <c r="D13" i="10"/>
  <c r="D25" i="10"/>
  <c r="D10" i="10"/>
  <c r="D15" i="10"/>
  <c r="D12" i="10"/>
  <c r="D27" i="10"/>
  <c r="D18" i="10"/>
  <c r="D17" i="10"/>
  <c r="D16" i="10"/>
  <c r="D19" i="10"/>
  <c r="D21" i="10"/>
  <c r="D33" i="13"/>
  <c r="D36" i="13" s="1"/>
  <c r="G637" i="1"/>
  <c r="J637" i="1" s="1"/>
  <c r="H646" i="1"/>
  <c r="J646" i="1" s="1"/>
  <c r="I667" i="1"/>
  <c r="C41" i="10"/>
  <c r="D38" i="10" s="1"/>
  <c r="F667" i="1" l="1"/>
  <c r="H65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<sst xmlns="http://schemas.openxmlformats.org/spreadsheetml/2006/main" count="3957" uniqueCount="915">
  <si>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</si>
  <si>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</si>
  <si>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</si>
  <si>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</si>
  <si>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</si>
  <si>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</si>
  <si>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</si>
  <si>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</si>
  <si>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</si>
  <si>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</si>
  <si>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</si>
  <si>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</si>
  <si>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</si>
  <si>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</si>
  <si>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</si>
  <si>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</si>
  <si>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</si>
  <si>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</si>
  <si>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</si>
  <si>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</si>
  <si>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</si>
  <si>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</si>
  <si>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</si>
  <si>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</si>
  <si>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</si>
  <si>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</si>
  <si>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</si>
  <si>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</si>
  <si>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</si>
  <si>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</si>
  <si>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</si>
  <si>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</si>
  <si>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</si>
  <si>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</si>
  <si>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</si>
  <si>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</si>
  <si>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</si>
  <si>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</si>
  <si>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</si>
  <si>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</si>
  <si>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</si>
  <si>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</si>
  <si>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</si>
  <si>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</si>
  <si>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</si>
  <si>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</si>
  <si>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</si>
  <si>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</si>
  <si>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</si>
  <si>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</si>
  <si>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</si>
  <si>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</si>
  <si>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</si>
  <si>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</si>
  <si>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</si>
  <si>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</si>
  <si>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</si>
  <si>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</si>
  <si>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</si>
  <si>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</si>
  <si>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</si>
  <si>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</si>
  <si>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</si>
  <si>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</si>
  <si>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</si>
  <si>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</si>
  <si>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</si>
  <si>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</si>
  <si>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</si>
  <si>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</si>
  <si>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</si>
  <si>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</si>
  <si>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</si>
  <si>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</si>
  <si>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</si>
  <si>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</si>
  <si>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</si>
  <si>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</si>
  <si>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</si>
  <si>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</si>
  <si>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</si>
  <si>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</si>
  <si>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</si>
  <si>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</si>
  <si>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</si>
  <si>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</si>
  <si>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</si>
  <si>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</si>
  <si>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</si>
  <si>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</si>
  <si>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</si>
  <si>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</si>
  <si>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</si>
  <si>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</si>
  <si>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</si>
  <si>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</si>
  <si>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</si>
  <si>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</si>
  <si>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</si>
  <si>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</si>
  <si>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</si>
  <si>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</si>
  <si>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</si>
  <si>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</si>
  <si>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</si>
  <si>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</si>
  <si>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</si>
  <si>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</si>
  <si>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</si>
  <si>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</si>
  <si>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</si>
  <si>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</si>
  <si>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</si>
  <si>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</si>
  <si>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</si>
  <si>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</si>
  <si>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</si>
  <si>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</si>
  <si>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</si>
  <si>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</si>
  <si>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</si>
  <si>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</si>
  <si>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</si>
  <si>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</si>
  <si>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</si>
  <si>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</si>
  <si>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</si>
  <si>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</si>
  <si>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</si>
  <si>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</si>
  <si>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</si>
  <si>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</si>
  <si>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</si>
  <si>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</si>
  <si>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</si>
  <si>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</si>
  <si>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</si>
  <si>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</si>
  <si>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</si>
  <si>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</si>
  <si>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</si>
  <si>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</si>
  <si>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</si>
  <si>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</si>
  <si>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</si>
  <si>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</si>
  <si>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</si>
  <si>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</si>
  <si>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</si>
  <si>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</si>
  <si>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</si>
  <si>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</si>
  <si>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</si>
  <si>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</si>
  <si>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</si>
  <si>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</si>
  <si>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</si>
  <si>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</si>
  <si>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</si>
  <si>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</si>
  <si>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</si>
  <si>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</si>
  <si>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</si>
  <si>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</si>
  <si>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</si>
  <si>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</si>
  <si>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</si>
  <si>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</si>
  <si>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</si>
  <si>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</si>
  <si>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</si>
  <si>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</si>
  <si>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</si>
  <si>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</si>
  <si>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</si>
  <si>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</si>
  <si>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</si>
  <si>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</si>
  <si>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</si>
  <si>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</si>
  <si>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</si>
  <si>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</si>
  <si>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</si>
  <si>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</si>
  <si>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</si>
  <si>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</si>
  <si>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</si>
  <si>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</si>
  <si>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</si>
  <si>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</si>
  <si>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</si>
  <si>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</si>
  <si>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</si>
  <si>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</si>
  <si>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</si>
  <si>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</si>
  <si>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</si>
  <si>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</si>
  <si>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</si>
  <si>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</si>
  <si>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</si>
  <si>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</si>
  <si>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</si>
  <si>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</si>
  <si>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</si>
  <si>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</si>
  <si>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</si>
  <si>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</si>
  <si>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</si>
  <si>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</si>
  <si>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</si>
  <si>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</si>
  <si>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</si>
  <si>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</si>
  <si>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</si>
  <si>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</si>
  <si>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</si>
  <si>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</si>
  <si>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</si>
  <si>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</si>
  <si>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</si>
  <si>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</si>
  <si>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</si>
  <si>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</si>
  <si>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</si>
  <si>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</si>
  <si>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</si>
  <si>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</si>
  <si>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</si>
  <si>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</si>
  <si>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</si>
  <si>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</si>
  <si>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</si>
  <si>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</si>
  <si>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</si>
  <si>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</si>
  <si>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</si>
  <si>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</si>
  <si>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</si>
  <si>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</si>
  <si>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</si>
  <si>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</si>
  <si>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</si>
  <si>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</si>
  <si>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</si>
  <si>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</si>
  <si>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</si>
  <si>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</si>
  <si>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</si>
  <si>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</si>
  <si>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</si>
  <si>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</si>
  <si>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</si>
  <si>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</si>
  <si>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</si>
  <si>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</si>
  <si>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</si>
  <si>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</si>
  <si>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</si>
  <si>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</si>
  <si>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</si>
  <si>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</si>
  <si>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</si>
  <si>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</si>
  <si>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</si>
  <si>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</si>
  <si>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</si>
  <si>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</si>
  <si>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</si>
  <si>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</si>
  <si>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</si>
  <si>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</si>
  <si>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</si>
  <si>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</si>
  <si>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</si>
  <si>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</si>
  <si>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</si>
  <si>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</si>
  <si>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</si>
  <si>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</si>
  <si>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</si>
  <si>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</si>
  <si>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</si>
  <si>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</si>
  <si>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</si>
  <si>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</si>
  <si>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</si>
  <si>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</si>
  <si>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</si>
  <si>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</si>
  <si>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</si>
  <si>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</si>
  <si>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</si>
  <si>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</si>
  <si>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</si>
  <si>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</si>
  <si>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</si>
  <si>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</si>
  <si>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</si>
  <si>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</si>
  <si>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</si>
  <si>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</si>
  <si>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</si>
  <si>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</si>
  <si>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</si>
  <si>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</si>
  <si>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</si>
  <si>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</si>
  <si>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</si>
  <si>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</si>
  <si>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</si>
  <si>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</si>
  <si>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</si>
  <si>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</si>
  <si>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</si>
  <si>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</si>
  <si>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</si>
  <si>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</si>
  <si>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</si>
  <si>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</si>
  <si>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</si>
  <si>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</si>
  <si>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</si>
  <si>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</si>
  <si>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</si>
  <si>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</si>
  <si>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</si>
  <si>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</si>
  <si>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</si>
  <si>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</si>
  <si>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</si>
  <si>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</si>
  <si>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</si>
  <si>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</si>
  <si>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</si>
  <si>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</si>
  <si>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</si>
  <si>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</si>
  <si>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</si>
  <si>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</si>
  <si>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</si>
  <si>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</si>
  <si>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</si>
  <si>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</si>
  <si>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</si>
  <si>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</si>
  <si>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</si>
  <si>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</si>
  <si>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</si>
  <si>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</si>
  <si>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</si>
  <si>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</si>
  <si>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</si>
  <si>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</si>
  <si>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</si>
  <si>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</si>
  <si>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</si>
  <si>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</si>
  <si>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</si>
  <si>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</si>
  <si>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</si>
  <si>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</si>
  <si>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</si>
  <si>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</si>
  <si>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</si>
  <si>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</si>
  <si>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</si>
  <si>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</si>
  <si>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</si>
  <si>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</si>
  <si>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</si>
  <si>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</si>
  <si>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</si>
  <si>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</si>
  <si>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</si>
  <si>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</si>
  <si>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</si>
  <si>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</si>
  <si>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</si>
  <si>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</si>
  <si>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</si>
  <si>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</si>
  <si>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</si>
  <si>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</si>
  <si>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</si>
  <si>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</si>
  <si>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</si>
  <si>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</si>
  <si>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</si>
  <si>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</si>
  <si>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</si>
  <si>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</si>
  <si>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</si>
  <si>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</si>
  <si>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</si>
  <si>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</si>
  <si>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</si>
  <si>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</si>
  <si>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</si>
  <si>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</si>
  <si>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</si>
  <si>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</si>
  <si>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</si>
  <si>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</si>
  <si>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</si>
  <si>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</si>
  <si>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</si>
  <si>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</si>
  <si>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</si>
  <si>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</si>
  <si>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</si>
  <si>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</si>
  <si>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</si>
  <si>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</si>
  <si>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</si>
  <si>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</si>
  <si>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</si>
  <si>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</si>
  <si>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</si>
  <si>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</si>
  <si>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</si>
  <si>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</si>
  <si>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</si>
  <si>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</si>
  <si>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</si>
  <si>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</si>
  <si>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</si>
  <si>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</si>
  <si>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</si>
  <si>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</si>
  <si>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</si>
  <si>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</si>
  <si>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</si>
  <si>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</si>
  <si>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</si>
  <si>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</si>
  <si>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</si>
  <si>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</si>
  <si>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</si>
  <si>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</si>
  <si>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</si>
  <si>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</si>
  <si>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</si>
  <si>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</si>
  <si>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</si>
  <si>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</si>
  <si>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</si>
  <si>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</si>
  <si>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</si>
  <si>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</si>
  <si>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</si>
  <si>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</si>
  <si>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</si>
  <si>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</si>
  <si>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</si>
  <si>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</si>
  <si>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</si>
  <si>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</si>
  <si>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</si>
  <si>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</si>
  <si>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</si>
  <si>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</si>
  <si>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</si>
  <si>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</si>
  <si>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</si>
  <si>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</si>
  <si>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</si>
  <si>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</si>
  <si>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</si>
  <si>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</si>
  <si>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</si>
  <si>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</si>
  <si>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</si>
  <si>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</si>
  <si>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</si>
  <si>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</si>
  <si>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</si>
  <si>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</si>
  <si>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</si>
  <si>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</si>
  <si>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</si>
  <si>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</si>
  <si>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</si>
  <si>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</si>
  <si>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</si>
  <si>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</si>
  <si>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</si>
  <si>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</si>
  <si>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</si>
  <si>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</si>
  <si>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</si>
  <si>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</si>
  <si>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</si>
  <si>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</si>
  <si>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</si>
  <si>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</si>
  <si>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</si>
  <si>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</si>
  <si>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</si>
  <si>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</si>
  <si>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</si>
  <si>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</si>
  <si>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</si>
  <si>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</si>
  <si>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</si>
  <si>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</si>
  <si>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</si>
  <si>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</si>
  <si>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</si>
  <si>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</si>
  <si>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</si>
  <si>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</si>
  <si>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</si>
  <si>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</si>
  <si>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</si>
  <si>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</si>
  <si>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</si>
  <si>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</si>
  <si>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</si>
  <si>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</si>
  <si>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</si>
  <si>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</si>
  <si>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</si>
  <si>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</si>
  <si>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</si>
  <si>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</si>
  <si>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</si>
  <si>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</si>
  <si>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</si>
  <si>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</si>
  <si>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</si>
  <si>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</si>
  <si>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</si>
  <si>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</si>
  <si>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</si>
  <si>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</si>
  <si>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</si>
  <si>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</si>
  <si>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</si>
  <si>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</si>
  <si>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</si>
  <si>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</si>
  <si>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</si>
  <si>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</si>
  <si>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</si>
  <si>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</si>
  <si>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</si>
  <si>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</si>
  <si>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</si>
  <si>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</si>
  <si>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</si>
  <si>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</si>
  <si>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</si>
  <si>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</si>
  <si>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</si>
  <si>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</si>
  <si>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</si>
  <si>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</si>
  <si>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</si>
  <si>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</si>
  <si>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</si>
  <si>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</si>
  <si>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</si>
  <si>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</si>
  <si>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</si>
  <si>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</si>
  <si>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</si>
  <si>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</si>
  <si>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</si>
  <si>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</si>
  <si>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</si>
  <si>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</si>
  <si>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</si>
  <si>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</si>
  <si>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</si>
  <si>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</si>
  <si>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</si>
  <si>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</si>
  <si>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</si>
  <si>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</si>
  <si>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</si>
  <si>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</si>
  <si>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</si>
  <si>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</si>
  <si>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</si>
  <si>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</si>
  <si>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</si>
  <si>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</si>
  <si>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</si>
  <si>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</si>
  <si>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</si>
  <si>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</si>
  <si>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</si>
  <si>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</si>
  <si>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</si>
  <si>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</si>
  <si>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</si>
  <si>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</si>
  <si>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</si>
  <si>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</si>
  <si>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</si>
  <si>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</si>
  <si>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</si>
  <si>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</si>
  <si>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</si>
  <si>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</si>
  <si>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</si>
  <si>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</si>
  <si>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</si>
  <si>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</si>
  <si>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</si>
  <si>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</si>
  <si>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</si>
  <si>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</si>
  <si>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</si>
  <si>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</si>
  <si>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</si>
  <si>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</si>
  <si>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</si>
  <si>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</si>
  <si>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</si>
  <si>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</si>
  <si>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</si>
  <si>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</si>
  <si>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</si>
  <si>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</si>
  <si>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</si>
  <si>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</si>
  <si>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</si>
  <si>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</si>
  <si>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</si>
  <si>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</si>
  <si>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</si>
  <si>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</si>
  <si>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</si>
  <si>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</si>
  <si>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</si>
  <si>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</si>
  <si>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</si>
  <si>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</si>
  <si>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</si>
  <si>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</si>
  <si>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</si>
  <si>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</si>
  <si>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</si>
  <si>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</si>
  <si>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</si>
  <si>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</si>
  <si>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</si>
  <si>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</si>
  <si>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</si>
  <si>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</si>
  <si>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</si>
  <si>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</si>
  <si>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</si>
  <si>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</si>
  <si>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</si>
  <si>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</si>
  <si>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</si>
  <si>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</si>
  <si>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</si>
  <si>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</si>
  <si>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</si>
  <si>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</si>
  <si>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</si>
  <si>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</si>
  <si>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</si>
  <si>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</si>
  <si>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</si>
  <si>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</si>
  <si>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</si>
  <si>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</si>
  <si>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</si>
  <si>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</si>
  <si>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</si>
  <si>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</si>
  <si>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</si>
  <si>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</si>
  <si>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</si>
  <si>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</si>
  <si>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</si>
  <si>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</si>
  <si>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</si>
  <si>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</si>
  <si>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</si>
  <si>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</si>
  <si>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</si>
  <si>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</si>
  <si>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</si>
  <si>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</si>
  <si>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</si>
  <si>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</si>
  <si>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</si>
  <si>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</si>
  <si>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</si>
  <si>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</si>
  <si>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</si>
  <si>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</si>
  <si>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</si>
  <si>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</si>
  <si>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</si>
  <si>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</si>
  <si>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</si>
  <si>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</si>
  <si>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</si>
  <si>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</si>
  <si>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</si>
  <si>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</si>
  <si>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</si>
  <si>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</si>
  <si>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</si>
  <si>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</si>
  <si>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</si>
  <si>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</si>
  <si>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</si>
  <si>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</si>
  <si>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</si>
  <si>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</si>
  <si>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</si>
  <si>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</si>
  <si>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</si>
  <si>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</si>
  <si>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</si>
  <si>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</si>
  <si>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</si>
  <si>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</si>
  <si>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</si>
  <si>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</si>
  <si>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</si>
  <si>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</si>
  <si>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</si>
  <si>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</si>
  <si>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</si>
  <si>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</si>
  <si>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</si>
  <si>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</si>
  <si>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</si>
  <si>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</si>
  <si>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</si>
  <si>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</si>
  <si>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</si>
  <si>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</si>
  <si>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</si>
  <si>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</si>
  <si>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</si>
  <si>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</si>
  <si>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</si>
  <si>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</si>
  <si>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</si>
  <si>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</si>
  <si>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</si>
  <si>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</si>
  <si>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</si>
  <si>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</si>
  <si>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</si>
  <si>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</si>
  <si>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</si>
  <si>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</si>
  <si>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</si>
  <si>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</si>
  <si>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</si>
  <si>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</si>
  <si>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</si>
  <si>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</si>
  <si>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</si>
  <si>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</si>
  <si>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</si>
  <si>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</si>
  <si>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</si>
  <si>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</si>
  <si>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</si>
  <si>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</si>
  <si>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</si>
  <si>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</si>
  <si>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</si>
  <si>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</si>
  <si>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</si>
  <si>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</si>
  <si>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</si>
  <si>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</si>
  <si>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</si>
  <si>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</si>
  <si>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</si>
  <si>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</si>
  <si>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</si>
  <si>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</si>
  <si>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</si>
  <si>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</si>
  <si>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</si>
  <si>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</si>
  <si>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</si>
  <si>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</si>
  <si>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</si>
  <si>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</si>
  <si>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</si>
  <si>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</si>
  <si>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</si>
  <si>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</si>
  <si>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</si>
  <si>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</si>
  <si>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</si>
  <si>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</si>
  <si>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</si>
  <si>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</si>
  <si>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</si>
  <si>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</si>
  <si>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</si>
  <si>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</si>
  <si>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</si>
  <si>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</si>
  <si>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</si>
  <si>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</si>
  <si>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</si>
  <si>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</si>
  <si>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</si>
  <si>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</si>
  <si>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</si>
  <si>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</si>
  <si>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</si>
  <si>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</si>
  <si>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</si>
  <si>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</si>
  <si>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</si>
  <si>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</si>
  <si>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</si>
  <si>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</si>
  <si>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</si>
  <si>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</si>
  <si>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</si>
  <si>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</si>
  <si>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</si>
  <si>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</si>
  <si>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</si>
  <si>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</si>
  <si>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</si>
  <si>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</si>
  <si>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</si>
  <si>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</si>
  <si>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</si>
  <si>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</si>
  <si>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</si>
  <si>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</si>
  <si>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</si>
  <si>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</si>
  <si>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</si>
  <si>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</si>
  <si>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</si>
  <si>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</si>
  <si>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</si>
  <si>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</si>
  <si>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</si>
  <si>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</si>
  <si>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</si>
  <si>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</si>
  <si>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</si>
  <si>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</si>
  <si>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</si>
  <si>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</si>
  <si>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</si>
  <si>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</si>
  <si>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</si>
  <si>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</si>
  <si>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</si>
  <si>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</si>
  <si>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</si>
  <si>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</si>
  <si>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</si>
  <si>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</si>
  <si>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</si>
  <si>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</si>
  <si>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</si>
  <si>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</si>
  <si>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</si>
  <si>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</si>
  <si>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</si>
  <si>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</si>
  <si>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</si>
  <si>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</si>
  <si>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</si>
  <si>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</si>
  <si>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</si>
  <si>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</si>
  <si>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</si>
  <si>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</si>
  <si>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</si>
  <si>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</si>
  <si>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</si>
  <si>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</si>
  <si>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</si>
  <si>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</si>
  <si>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</si>
  <si>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</si>
  <si>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</si>
  <si>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</si>
  <si>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</si>
  <si>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</si>
  <si>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</si>
  <si>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</si>
  <si>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</si>
  <si>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</si>
  <si>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</si>
  <si>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</si>
  <si>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</si>
  <si>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</si>
  <si>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</si>
  <si>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</si>
  <si>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</si>
  <si>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</si>
  <si>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</si>
  <si>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</si>
  <si>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</si>
  <si>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</si>
  <si>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08/03</t>
  </si>
  <si>
    <t>08/23</t>
  </si>
  <si>
    <t>Winchester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</si>
</sst>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135" activePane="bottomRight" state="frozen"/>
      <selection pane="topRight" activeCell="F1" sqref="F1"/>
      <selection pane="bottomLeft" activeCell="A4" sqref="A4"/>
      <selection pane="bottomRight" activeCell="H665" sqref="H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573</v>
      </c>
      <c r="C2" s="21">
        <v>573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414320.26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606072.17000000004</v>
      </c>
      <c r="G12" s="18">
        <v>70777</v>
      </c>
      <c r="H12" s="18">
        <v>197643.1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34224.199999999997</v>
      </c>
      <c r="G13" s="18">
        <v>39452.589999999997</v>
      </c>
      <c r="H13" s="18"/>
      <c r="I13" s="18"/>
      <c r="J13" s="67">
        <f>SUM(I442)</f>
        <v>440229.71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127981.87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1282.71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8329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1190927.5</v>
      </c>
      <c r="G19" s="41">
        <f>SUM(G9:G18)</f>
        <v>111512.3</v>
      </c>
      <c r="H19" s="41">
        <f>SUM(H9:H18)</f>
        <v>197643.1</v>
      </c>
      <c r="I19" s="41">
        <f>SUM(I9:I18)</f>
        <v>0</v>
      </c>
      <c r="J19" s="41">
        <f>SUM(J9:J18)</f>
        <v>440229.71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120738.92</v>
      </c>
      <c r="G22" s="18">
        <v>38918.42</v>
      </c>
      <c r="H22" s="18">
        <v>255843.7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>
        <v>111630.05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107579.33</v>
      </c>
      <c r="G24" s="18">
        <v>4390.1899999999996</v>
      </c>
      <c r="H24" s="18">
        <v>8505.0300000000007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294922.5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0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523240.75</v>
      </c>
      <c r="G32" s="41">
        <f>SUM(G22:G31)</f>
        <v>43308.61</v>
      </c>
      <c r="H32" s="41">
        <f>SUM(H22:H31)</f>
        <v>375978.78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1282.71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8329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66920.98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440229.71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28909</v>
      </c>
      <c r="G49" s="18"/>
      <c r="H49" s="18">
        <v>-178335.68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605448.75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667686.75</v>
      </c>
      <c r="G51" s="41">
        <f>SUM(G35:G50)</f>
        <v>68203.69</v>
      </c>
      <c r="H51" s="41">
        <f>SUM(H35:H50)</f>
        <v>-178335.68</v>
      </c>
      <c r="I51" s="41">
        <f>SUM(I35:I50)</f>
        <v>0</v>
      </c>
      <c r="J51" s="41">
        <f>SUM(J35:J50)</f>
        <v>440229.71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1190927.5</v>
      </c>
      <c r="G52" s="41">
        <f>G51+G32</f>
        <v>111512.3</v>
      </c>
      <c r="H52" s="41">
        <f>H51+H32</f>
        <v>197643.10000000003</v>
      </c>
      <c r="I52" s="41">
        <f>I51+I32</f>
        <v>0</v>
      </c>
      <c r="J52" s="41">
        <f>J51+J32</f>
        <v>440229.71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4584056.05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4584056.05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34224.199999999997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34224.199999999997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4841.05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5733.75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7590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>
        <v>0</v>
      </c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48882.04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15769.22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25317.46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97558.720000000001</v>
      </c>
      <c r="G111" s="41">
        <f>SUM(G96:G110)</f>
        <v>5733.75</v>
      </c>
      <c r="H111" s="41">
        <f>SUM(H96:H110)</f>
        <v>0</v>
      </c>
      <c r="I111" s="41">
        <f>SUM(I96:I110)</f>
        <v>0</v>
      </c>
      <c r="J111" s="41">
        <f>SUM(J96:J110)</f>
        <v>4841.05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4715838.97</v>
      </c>
      <c r="G112" s="41">
        <f>G60+G111</f>
        <v>5733.75</v>
      </c>
      <c r="H112" s="41">
        <f>H60+H79+H94+H111</f>
        <v>0</v>
      </c>
      <c r="I112" s="41">
        <f>I60+I111</f>
        <v>0</v>
      </c>
      <c r="J112" s="41">
        <f>J60+J111</f>
        <v>4841.05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3972779.21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605358.94999999995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4578138.16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61298.17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4663.7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3529.02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65961.87</v>
      </c>
      <c r="G136" s="41">
        <f>SUM(G123:G135)</f>
        <v>3529.02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4644100.03</v>
      </c>
      <c r="G140" s="41">
        <f>G121+SUM(G136:G137)</f>
        <v>3529.02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260441.32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66756.100000000006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216274.25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144102.38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119113.96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119113.96</v>
      </c>
      <c r="G162" s="41">
        <f>SUM(G150:G161)</f>
        <v>216274.25</v>
      </c>
      <c r="H162" s="41">
        <f>SUM(H150:H161)</f>
        <v>471299.80000000005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>
        <v>1439</v>
      </c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119113.96</v>
      </c>
      <c r="G169" s="41">
        <f>G147+G162+SUM(G163:G168)</f>
        <v>216274.25</v>
      </c>
      <c r="H169" s="41">
        <f>H147+H162+SUM(H163:H168)</f>
        <v>472738.80000000005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75000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9479052.9600000009</v>
      </c>
      <c r="G193" s="47">
        <f>G112+G140+G169+G192</f>
        <v>225537.02</v>
      </c>
      <c r="H193" s="47">
        <f>H112+H140+H169+H192</f>
        <v>472738.80000000005</v>
      </c>
      <c r="I193" s="47">
        <f>I112+I140+I169+I192</f>
        <v>0</v>
      </c>
      <c r="J193" s="47">
        <f>J112+J140+J192</f>
        <v>79841.05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1538047.56</v>
      </c>
      <c r="G197" s="18">
        <v>799637.36</v>
      </c>
      <c r="H197" s="18">
        <v>22802.400000000001</v>
      </c>
      <c r="I197" s="18">
        <v>40577.300000000003</v>
      </c>
      <c r="J197" s="18">
        <v>1347.31</v>
      </c>
      <c r="K197" s="18">
        <v>259</v>
      </c>
      <c r="L197" s="19">
        <f>SUM(F197:K197)</f>
        <v>2402670.9299999997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887830.98</v>
      </c>
      <c r="G198" s="18">
        <v>203738.84</v>
      </c>
      <c r="H198" s="18">
        <v>392463.89</v>
      </c>
      <c r="I198" s="18">
        <v>6185.62</v>
      </c>
      <c r="J198" s="18"/>
      <c r="K198" s="18"/>
      <c r="L198" s="19">
        <f>SUM(F198:K198)</f>
        <v>1490219.33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25686.17</v>
      </c>
      <c r="G200" s="18">
        <v>2200.15</v>
      </c>
      <c r="H200" s="18">
        <v>4372</v>
      </c>
      <c r="I200" s="18">
        <v>6955.62</v>
      </c>
      <c r="J200" s="18"/>
      <c r="K200" s="18"/>
      <c r="L200" s="19">
        <f>SUM(F200:K200)</f>
        <v>39213.94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298224.81</v>
      </c>
      <c r="G202" s="18">
        <v>152607.85999999999</v>
      </c>
      <c r="H202" s="18">
        <v>0</v>
      </c>
      <c r="I202" s="18">
        <v>2830.25</v>
      </c>
      <c r="J202" s="18">
        <v>400</v>
      </c>
      <c r="K202" s="18"/>
      <c r="L202" s="19">
        <f t="shared" ref="L202:L208" si="0">SUM(F202:K202)</f>
        <v>454062.92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56304.2</v>
      </c>
      <c r="G203" s="18">
        <v>39843.82</v>
      </c>
      <c r="H203" s="18">
        <v>26012.31</v>
      </c>
      <c r="I203" s="18">
        <v>4425.1499999999996</v>
      </c>
      <c r="J203" s="18"/>
      <c r="K203" s="18"/>
      <c r="L203" s="19">
        <f t="shared" si="0"/>
        <v>126585.47999999998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139041.84</v>
      </c>
      <c r="G204" s="18">
        <v>129556.75</v>
      </c>
      <c r="H204" s="18">
        <v>5554.54</v>
      </c>
      <c r="I204" s="18">
        <v>14441.73</v>
      </c>
      <c r="J204" s="18"/>
      <c r="K204" s="18">
        <v>10858.82</v>
      </c>
      <c r="L204" s="19">
        <f t="shared" si="0"/>
        <v>299453.67999999993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135094.06</v>
      </c>
      <c r="G205" s="18">
        <v>57089.27</v>
      </c>
      <c r="H205" s="18">
        <v>2377.1799999999998</v>
      </c>
      <c r="I205" s="18">
        <v>598.04999999999995</v>
      </c>
      <c r="J205" s="18"/>
      <c r="K205" s="18">
        <v>206.26</v>
      </c>
      <c r="L205" s="19">
        <f t="shared" si="0"/>
        <v>195364.81999999998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81487.69</v>
      </c>
      <c r="G206" s="18">
        <v>22300.2</v>
      </c>
      <c r="H206" s="18"/>
      <c r="I206" s="18"/>
      <c r="J206" s="18"/>
      <c r="K206" s="18"/>
      <c r="L206" s="19">
        <f t="shared" si="0"/>
        <v>103787.89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153700.82999999999</v>
      </c>
      <c r="G207" s="18">
        <v>68660.820000000007</v>
      </c>
      <c r="H207" s="18">
        <v>131213.28</v>
      </c>
      <c r="I207" s="18">
        <v>158299.18</v>
      </c>
      <c r="J207" s="18">
        <v>24248.560000000001</v>
      </c>
      <c r="K207" s="18"/>
      <c r="L207" s="19">
        <f t="shared" si="0"/>
        <v>536122.67000000004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4035.97</v>
      </c>
      <c r="G208" s="18">
        <v>308.7</v>
      </c>
      <c r="H208" s="18">
        <v>356445.77</v>
      </c>
      <c r="I208" s="18"/>
      <c r="J208" s="18"/>
      <c r="K208" s="18"/>
      <c r="L208" s="19">
        <f t="shared" si="0"/>
        <v>360790.44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42856.25</v>
      </c>
      <c r="G209" s="18">
        <v>7518.74</v>
      </c>
      <c r="H209" s="18">
        <v>151793.54999999999</v>
      </c>
      <c r="I209" s="18">
        <v>43619.83</v>
      </c>
      <c r="J209" s="18">
        <v>49545.89</v>
      </c>
      <c r="K209" s="18"/>
      <c r="L209" s="19">
        <f>SUM(F209:K209)</f>
        <v>295334.26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3362310.3600000003</v>
      </c>
      <c r="G211" s="41">
        <f t="shared" si="1"/>
        <v>1483462.51</v>
      </c>
      <c r="H211" s="41">
        <f t="shared" si="1"/>
        <v>1093034.92</v>
      </c>
      <c r="I211" s="41">
        <f t="shared" si="1"/>
        <v>277932.73000000004</v>
      </c>
      <c r="J211" s="41">
        <f t="shared" si="1"/>
        <v>75541.760000000009</v>
      </c>
      <c r="K211" s="41">
        <f t="shared" si="1"/>
        <v>11324.08</v>
      </c>
      <c r="L211" s="41">
        <f t="shared" si="1"/>
        <v>6303606.3599999994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1595254.44</v>
      </c>
      <c r="I233" s="18"/>
      <c r="J233" s="18"/>
      <c r="K233" s="18"/>
      <c r="L233" s="19">
        <f>SUM(F233:K233)</f>
        <v>1595254.44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1234131.25</v>
      </c>
      <c r="I234" s="18"/>
      <c r="J234" s="18"/>
      <c r="K234" s="18"/>
      <c r="L234" s="19">
        <f>SUM(F234:K234)</f>
        <v>1234131.25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226894</v>
      </c>
      <c r="I244" s="18"/>
      <c r="J244" s="18"/>
      <c r="K244" s="18"/>
      <c r="L244" s="19">
        <f t="shared" si="4"/>
        <v>226894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3056279.69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3056279.69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3362310.3600000003</v>
      </c>
      <c r="G257" s="41">
        <f t="shared" si="8"/>
        <v>1483462.51</v>
      </c>
      <c r="H257" s="41">
        <f t="shared" si="8"/>
        <v>4149314.61</v>
      </c>
      <c r="I257" s="41">
        <f t="shared" si="8"/>
        <v>277932.73000000004</v>
      </c>
      <c r="J257" s="41">
        <f t="shared" si="8"/>
        <v>75541.760000000009</v>
      </c>
      <c r="K257" s="41">
        <f t="shared" si="8"/>
        <v>11324.08</v>
      </c>
      <c r="L257" s="41">
        <f t="shared" si="8"/>
        <v>9359886.0499999989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175000</v>
      </c>
      <c r="L260" s="19">
        <f>SUM(F260:K260)</f>
        <v>175000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50932</v>
      </c>
      <c r="L261" s="19">
        <f>SUM(F261:K261)</f>
        <v>50932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300932</v>
      </c>
      <c r="L270" s="41">
        <f t="shared" si="9"/>
        <v>300932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3362310.3600000003</v>
      </c>
      <c r="G271" s="42">
        <f t="shared" si="11"/>
        <v>1483462.51</v>
      </c>
      <c r="H271" s="42">
        <f t="shared" si="11"/>
        <v>4149314.61</v>
      </c>
      <c r="I271" s="42">
        <f t="shared" si="11"/>
        <v>277932.73000000004</v>
      </c>
      <c r="J271" s="42">
        <f t="shared" si="11"/>
        <v>75541.760000000009</v>
      </c>
      <c r="K271" s="42">
        <f t="shared" si="11"/>
        <v>312256.08</v>
      </c>
      <c r="L271" s="42">
        <f t="shared" si="11"/>
        <v>9660818.0499999989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216021.53</v>
      </c>
      <c r="G276" s="18">
        <v>45740.25</v>
      </c>
      <c r="H276" s="18">
        <v>1000</v>
      </c>
      <c r="I276" s="18">
        <v>127.2</v>
      </c>
      <c r="J276" s="18">
        <v>2436.8200000000002</v>
      </c>
      <c r="K276" s="18"/>
      <c r="L276" s="19">
        <f>SUM(F276:K276)</f>
        <v>265325.80000000005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34578.379999999997</v>
      </c>
      <c r="G277" s="18">
        <v>8480.14</v>
      </c>
      <c r="H277" s="18">
        <v>17499.990000000002</v>
      </c>
      <c r="I277" s="18">
        <v>4096.29</v>
      </c>
      <c r="J277" s="18"/>
      <c r="K277" s="18"/>
      <c r="L277" s="19">
        <f>SUM(F277:K277)</f>
        <v>64654.799999999996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29754.71</v>
      </c>
      <c r="G281" s="18">
        <v>15888.95</v>
      </c>
      <c r="H281" s="18">
        <v>7500</v>
      </c>
      <c r="I281" s="18"/>
      <c r="J281" s="18"/>
      <c r="K281" s="18"/>
      <c r="L281" s="19">
        <f t="shared" ref="L281:L287" si="12">SUM(F281:K281)</f>
        <v>53143.66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60149.9</v>
      </c>
      <c r="G282" s="18">
        <v>26120.67</v>
      </c>
      <c r="H282" s="18">
        <v>7468.57</v>
      </c>
      <c r="I282" s="18"/>
      <c r="J282" s="18"/>
      <c r="K282" s="18"/>
      <c r="L282" s="19">
        <f t="shared" si="12"/>
        <v>93739.140000000014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340504.52</v>
      </c>
      <c r="G290" s="42">
        <f t="shared" si="13"/>
        <v>96230.01</v>
      </c>
      <c r="H290" s="42">
        <f t="shared" si="13"/>
        <v>33468.559999999998</v>
      </c>
      <c r="I290" s="42">
        <f t="shared" si="13"/>
        <v>4223.49</v>
      </c>
      <c r="J290" s="42">
        <f t="shared" si="13"/>
        <v>2436.8200000000002</v>
      </c>
      <c r="K290" s="42">
        <f t="shared" si="13"/>
        <v>0</v>
      </c>
      <c r="L290" s="41">
        <f t="shared" si="13"/>
        <v>476863.4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340504.52</v>
      </c>
      <c r="G338" s="41">
        <f t="shared" si="20"/>
        <v>96230.01</v>
      </c>
      <c r="H338" s="41">
        <f t="shared" si="20"/>
        <v>33468.559999999998</v>
      </c>
      <c r="I338" s="41">
        <f t="shared" si="20"/>
        <v>4223.49</v>
      </c>
      <c r="J338" s="41">
        <f t="shared" si="20"/>
        <v>2436.8200000000002</v>
      </c>
      <c r="K338" s="41">
        <f t="shared" si="20"/>
        <v>0</v>
      </c>
      <c r="L338" s="41">
        <f t="shared" si="20"/>
        <v>476863.4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340504.52</v>
      </c>
      <c r="G352" s="41">
        <f>G338</f>
        <v>96230.01</v>
      </c>
      <c r="H352" s="41">
        <f>H338</f>
        <v>33468.559999999998</v>
      </c>
      <c r="I352" s="41">
        <f>I338</f>
        <v>4223.49</v>
      </c>
      <c r="J352" s="41">
        <f>J338</f>
        <v>2436.8200000000002</v>
      </c>
      <c r="K352" s="47">
        <f>K338+K351</f>
        <v>0</v>
      </c>
      <c r="L352" s="41">
        <f>L338+L351</f>
        <v>476863.4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75475.09</v>
      </c>
      <c r="G358" s="18">
        <v>29649.119999999999</v>
      </c>
      <c r="H358" s="18">
        <v>8166.33</v>
      </c>
      <c r="I358" s="18">
        <v>128148.06</v>
      </c>
      <c r="J358" s="18">
        <v>38691.760000000002</v>
      </c>
      <c r="K358" s="18"/>
      <c r="L358" s="13">
        <f>SUM(F358:K358)</f>
        <v>280130.36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75475.09</v>
      </c>
      <c r="G362" s="47">
        <f t="shared" si="22"/>
        <v>29649.119999999999</v>
      </c>
      <c r="H362" s="47">
        <f t="shared" si="22"/>
        <v>8166.33</v>
      </c>
      <c r="I362" s="47">
        <f t="shared" si="22"/>
        <v>128148.06</v>
      </c>
      <c r="J362" s="47">
        <f t="shared" si="22"/>
        <v>38691.760000000002</v>
      </c>
      <c r="K362" s="47">
        <f t="shared" si="22"/>
        <v>0</v>
      </c>
      <c r="L362" s="47">
        <f t="shared" si="22"/>
        <v>280130.36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123167.67999999999</v>
      </c>
      <c r="G367" s="18"/>
      <c r="H367" s="18"/>
      <c r="I367" s="56">
        <f>SUM(F367:H367)</f>
        <v>123167.67999999999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4980.38</v>
      </c>
      <c r="G368" s="63"/>
      <c r="H368" s="63"/>
      <c r="I368" s="56">
        <f>SUM(F368:H368)</f>
        <v>4980.38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128148.06</v>
      </c>
      <c r="G369" s="47">
        <f>SUM(G367:G368)</f>
        <v>0</v>
      </c>
      <c r="H369" s="47">
        <f>SUM(H367:H368)</f>
        <v>0</v>
      </c>
      <c r="I369" s="47">
        <f>SUM(I367:I368)</f>
        <v>128148.06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>
        <v>50000</v>
      </c>
      <c r="H388" s="18">
        <v>2400.41</v>
      </c>
      <c r="I388" s="18"/>
      <c r="J388" s="24" t="s">
        <v>288</v>
      </c>
      <c r="K388" s="24" t="s">
        <v>288</v>
      </c>
      <c r="L388" s="56">
        <f t="shared" si="25"/>
        <v>52400.41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2400.41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52400.41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25000</v>
      </c>
      <c r="H397" s="18">
        <v>2440.64</v>
      </c>
      <c r="I397" s="18"/>
      <c r="J397" s="24" t="s">
        <v>288</v>
      </c>
      <c r="K397" s="24" t="s">
        <v>288</v>
      </c>
      <c r="L397" s="56">
        <f t="shared" si="26"/>
        <v>27440.639999999999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2440.64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27440.639999999999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4841.0499999999993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79841.05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>
        <v>40436.21</v>
      </c>
      <c r="I414" s="18">
        <v>217</v>
      </c>
      <c r="J414" s="18"/>
      <c r="K414" s="18"/>
      <c r="L414" s="56">
        <f t="shared" si="27"/>
        <v>40653.21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40436.21</v>
      </c>
      <c r="I419" s="139">
        <f t="shared" si="28"/>
        <v>217</v>
      </c>
      <c r="J419" s="139">
        <f t="shared" si="28"/>
        <v>0</v>
      </c>
      <c r="K419" s="139">
        <f t="shared" si="28"/>
        <v>0</v>
      </c>
      <c r="L419" s="47">
        <f t="shared" si="28"/>
        <v>40653.21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40436.21</v>
      </c>
      <c r="I434" s="47">
        <f t="shared" si="32"/>
        <v>217</v>
      </c>
      <c r="J434" s="47">
        <f t="shared" si="32"/>
        <v>0</v>
      </c>
      <c r="K434" s="47">
        <f t="shared" si="32"/>
        <v>0</v>
      </c>
      <c r="L434" s="47">
        <f t="shared" si="32"/>
        <v>40653.21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208225.42</v>
      </c>
      <c r="G442" s="18">
        <v>232004.29</v>
      </c>
      <c r="H442" s="18"/>
      <c r="I442" s="56">
        <f t="shared" si="33"/>
        <v>440229.71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208225.42</v>
      </c>
      <c r="G446" s="13">
        <f>SUM(G439:G445)</f>
        <v>232004.29</v>
      </c>
      <c r="H446" s="13">
        <f>SUM(H439:H445)</f>
        <v>0</v>
      </c>
      <c r="I446" s="13">
        <f>SUM(I439:I445)</f>
        <v>440229.71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208225.42</v>
      </c>
      <c r="G459" s="18">
        <v>232004.29</v>
      </c>
      <c r="H459" s="18"/>
      <c r="I459" s="56">
        <f t="shared" si="34"/>
        <v>440229.71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208225.42</v>
      </c>
      <c r="G460" s="83">
        <f>SUM(G454:G459)</f>
        <v>232004.29</v>
      </c>
      <c r="H460" s="83">
        <f>SUM(H454:H459)</f>
        <v>0</v>
      </c>
      <c r="I460" s="83">
        <f>SUM(I454:I459)</f>
        <v>440229.71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208225.42</v>
      </c>
      <c r="G461" s="42">
        <f>G452+G460</f>
        <v>232004.29</v>
      </c>
      <c r="H461" s="42">
        <f>H452+H460</f>
        <v>0</v>
      </c>
      <c r="I461" s="42">
        <f>I452+I460</f>
        <v>440229.71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849451.84</v>
      </c>
      <c r="G465" s="18">
        <v>122797.03</v>
      </c>
      <c r="H465" s="18">
        <v>-174211.08</v>
      </c>
      <c r="I465" s="18"/>
      <c r="J465" s="18">
        <v>401041.87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9479052.9600000009</v>
      </c>
      <c r="G468" s="18">
        <v>225537.02</v>
      </c>
      <c r="H468" s="18">
        <v>472738.8</v>
      </c>
      <c r="I468" s="18"/>
      <c r="J468" s="18">
        <v>79841.05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9479052.9600000009</v>
      </c>
      <c r="G470" s="53">
        <f>SUM(G468:G469)</f>
        <v>225537.02</v>
      </c>
      <c r="H470" s="53">
        <f>SUM(H468:H469)</f>
        <v>472738.8</v>
      </c>
      <c r="I470" s="53">
        <f>SUM(I468:I469)</f>
        <v>0</v>
      </c>
      <c r="J470" s="53">
        <f>SUM(J468:J469)</f>
        <v>79841.05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9660818.0500000007</v>
      </c>
      <c r="G472" s="18">
        <v>280130.36</v>
      </c>
      <c r="H472" s="18">
        <v>476863.4</v>
      </c>
      <c r="I472" s="18"/>
      <c r="J472" s="18">
        <v>40653.21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9660818.0500000007</v>
      </c>
      <c r="G474" s="53">
        <f>SUM(G472:G473)</f>
        <v>280130.36</v>
      </c>
      <c r="H474" s="53">
        <f>SUM(H472:H473)</f>
        <v>476863.4</v>
      </c>
      <c r="I474" s="53">
        <f>SUM(I472:I473)</f>
        <v>0</v>
      </c>
      <c r="J474" s="53">
        <f>SUM(J472:J473)</f>
        <v>40653.21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667686.75</v>
      </c>
      <c r="G476" s="53">
        <f>(G465+G470)- G474</f>
        <v>68203.69</v>
      </c>
      <c r="H476" s="53">
        <f>(H465+H470)- H474</f>
        <v>-178335.68000000005</v>
      </c>
      <c r="I476" s="53">
        <f>(I465+I470)- I474</f>
        <v>0</v>
      </c>
      <c r="J476" s="53">
        <f>(J465+J470)- J474</f>
        <v>440229.70999999996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3504725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1400000</v>
      </c>
      <c r="G495" s="18"/>
      <c r="H495" s="18"/>
      <c r="I495" s="18"/>
      <c r="J495" s="18"/>
      <c r="K495" s="53">
        <f>SUM(F495:J495)</f>
        <v>1400000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175000</v>
      </c>
      <c r="G497" s="18"/>
      <c r="H497" s="18"/>
      <c r="I497" s="18"/>
      <c r="J497" s="18"/>
      <c r="K497" s="53">
        <f t="shared" si="35"/>
        <v>175000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1225000</v>
      </c>
      <c r="G498" s="204"/>
      <c r="H498" s="204"/>
      <c r="I498" s="204"/>
      <c r="J498" s="204"/>
      <c r="K498" s="205">
        <f t="shared" si="35"/>
        <v>1225000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154455</v>
      </c>
      <c r="G499" s="18"/>
      <c r="H499" s="18"/>
      <c r="I499" s="18"/>
      <c r="J499" s="18"/>
      <c r="K499" s="53">
        <f t="shared" si="35"/>
        <v>154455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1379455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1379455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175000</v>
      </c>
      <c r="G501" s="204"/>
      <c r="H501" s="204"/>
      <c r="I501" s="204"/>
      <c r="J501" s="204"/>
      <c r="K501" s="205">
        <f t="shared" si="35"/>
        <v>175000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47182</v>
      </c>
      <c r="G502" s="18"/>
      <c r="H502" s="18"/>
      <c r="I502" s="18"/>
      <c r="J502" s="18"/>
      <c r="K502" s="53">
        <f t="shared" si="35"/>
        <v>47182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222182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222182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887830.98</v>
      </c>
      <c r="G521" s="18">
        <v>203738.84</v>
      </c>
      <c r="H521" s="18">
        <v>561566.86</v>
      </c>
      <c r="I521" s="18">
        <v>6185.62</v>
      </c>
      <c r="J521" s="18"/>
      <c r="K521" s="18"/>
      <c r="L521" s="88">
        <f>SUM(F521:K521)</f>
        <v>1659322.3000000003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1234131.25</v>
      </c>
      <c r="I523" s="18"/>
      <c r="J523" s="18"/>
      <c r="K523" s="18"/>
      <c r="L523" s="88">
        <f>SUM(F523:K523)</f>
        <v>1234131.25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887830.98</v>
      </c>
      <c r="G524" s="108">
        <f t="shared" ref="G524:L524" si="36">SUM(G521:G523)</f>
        <v>203738.84</v>
      </c>
      <c r="H524" s="108">
        <f t="shared" si="36"/>
        <v>1795698.1099999999</v>
      </c>
      <c r="I524" s="108">
        <f t="shared" si="36"/>
        <v>6185.62</v>
      </c>
      <c r="J524" s="108">
        <f t="shared" si="36"/>
        <v>0</v>
      </c>
      <c r="K524" s="108">
        <f t="shared" si="36"/>
        <v>0</v>
      </c>
      <c r="L524" s="89">
        <f t="shared" si="36"/>
        <v>2893453.5500000003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201692.71</v>
      </c>
      <c r="I526" s="18"/>
      <c r="J526" s="18"/>
      <c r="K526" s="18"/>
      <c r="L526" s="88">
        <f>SUM(F526:K526)</f>
        <v>201692.71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201692.71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201692.71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198664.72</v>
      </c>
      <c r="I541" s="18"/>
      <c r="J541" s="18"/>
      <c r="K541" s="18"/>
      <c r="L541" s="88">
        <f>SUM(F541:K541)</f>
        <v>198664.72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80498</v>
      </c>
      <c r="I543" s="18"/>
      <c r="J543" s="18"/>
      <c r="K543" s="18"/>
      <c r="L543" s="88">
        <f>SUM(F543:K543)</f>
        <v>80498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279162.71999999997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279162.71999999997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887830.98</v>
      </c>
      <c r="G545" s="89">
        <f t="shared" ref="G545:L545" si="41">G524+G529+G534+G539+G544</f>
        <v>203738.84</v>
      </c>
      <c r="H545" s="89">
        <f t="shared" si="41"/>
        <v>2276553.54</v>
      </c>
      <c r="I545" s="89">
        <f t="shared" si="41"/>
        <v>6185.62</v>
      </c>
      <c r="J545" s="89">
        <f t="shared" si="41"/>
        <v>0</v>
      </c>
      <c r="K545" s="89">
        <f t="shared" si="41"/>
        <v>0</v>
      </c>
      <c r="L545" s="89">
        <f t="shared" si="41"/>
        <v>3374308.9800000004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1659322.3000000003</v>
      </c>
      <c r="G549" s="87">
        <f>L526</f>
        <v>201692.71</v>
      </c>
      <c r="H549" s="87">
        <f>L531</f>
        <v>0</v>
      </c>
      <c r="I549" s="87">
        <f>L536</f>
        <v>0</v>
      </c>
      <c r="J549" s="87">
        <f>L541</f>
        <v>198664.72</v>
      </c>
      <c r="K549" s="87">
        <f>SUM(F549:J549)</f>
        <v>2059679.7300000002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1234131.25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80498</v>
      </c>
      <c r="K551" s="87">
        <f>SUM(F551:J551)</f>
        <v>1314629.25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2893453.5500000003</v>
      </c>
      <c r="G552" s="89">
        <f t="shared" si="42"/>
        <v>201692.71</v>
      </c>
      <c r="H552" s="89">
        <f t="shared" si="42"/>
        <v>0</v>
      </c>
      <c r="I552" s="89">
        <f t="shared" si="42"/>
        <v>0</v>
      </c>
      <c r="J552" s="89">
        <f t="shared" si="42"/>
        <v>279162.71999999997</v>
      </c>
      <c r="K552" s="89">
        <f t="shared" si="42"/>
        <v>3374308.9800000004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1595254.44</v>
      </c>
      <c r="I575" s="87">
        <f>SUM(F575:H575)</f>
        <v>1595254.44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1152636.6399999999</v>
      </c>
      <c r="I579" s="87">
        <f t="shared" si="47"/>
        <v>1152636.6399999999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136378.46</v>
      </c>
      <c r="G582" s="18"/>
      <c r="H582" s="18">
        <v>36927.839999999997</v>
      </c>
      <c r="I582" s="87">
        <f t="shared" si="47"/>
        <v>173306.3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32724.51</v>
      </c>
      <c r="G583" s="18"/>
      <c r="H583" s="18">
        <v>44566.77</v>
      </c>
      <c r="I583" s="87">
        <f t="shared" si="47"/>
        <v>77291.28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143010</v>
      </c>
      <c r="I591" s="18"/>
      <c r="J591" s="18">
        <v>146396</v>
      </c>
      <c r="K591" s="104">
        <f t="shared" ref="K591:K597" si="48">SUM(H591:J591)</f>
        <v>289406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198664.72</v>
      </c>
      <c r="I592" s="18"/>
      <c r="J592" s="18">
        <v>80498</v>
      </c>
      <c r="K592" s="104">
        <f t="shared" si="48"/>
        <v>279162.71999999997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7852.25</v>
      </c>
      <c r="I594" s="18"/>
      <c r="J594" s="18"/>
      <c r="K594" s="104">
        <f t="shared" si="48"/>
        <v>7852.25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6918.8</v>
      </c>
      <c r="I595" s="18"/>
      <c r="J595" s="18"/>
      <c r="K595" s="104">
        <f t="shared" si="48"/>
        <v>6918.8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4344.67</v>
      </c>
      <c r="I597" s="18"/>
      <c r="J597" s="18"/>
      <c r="K597" s="104">
        <f t="shared" si="48"/>
        <v>4344.67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360790.43999999994</v>
      </c>
      <c r="I598" s="108">
        <f>SUM(I591:I597)</f>
        <v>0</v>
      </c>
      <c r="J598" s="108">
        <f>SUM(J591:J597)</f>
        <v>226894</v>
      </c>
      <c r="K598" s="108">
        <f>SUM(K591:K597)</f>
        <v>587684.44000000006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77978.58</v>
      </c>
      <c r="I604" s="18"/>
      <c r="J604" s="18"/>
      <c r="K604" s="104">
        <f>SUM(H604:J604)</f>
        <v>77978.58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77978.58</v>
      </c>
      <c r="I605" s="108">
        <f>SUM(I602:I604)</f>
        <v>0</v>
      </c>
      <c r="J605" s="108">
        <f>SUM(J602:J604)</f>
        <v>0</v>
      </c>
      <c r="K605" s="108">
        <f>SUM(K602:K604)</f>
        <v>77978.58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1190927.5</v>
      </c>
      <c r="H617" s="109">
        <f>SUM(F52)</f>
        <v>1190927.5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111512.3</v>
      </c>
      <c r="H618" s="109">
        <f>SUM(G52)</f>
        <v>111512.3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197643.1</v>
      </c>
      <c r="H619" s="109">
        <f>SUM(H52)</f>
        <v>197643.10000000003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440229.71</v>
      </c>
      <c r="H621" s="109">
        <f>SUM(J52)</f>
        <v>440229.71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667686.75</v>
      </c>
      <c r="H622" s="109">
        <f>F476</f>
        <v>667686.75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68203.69</v>
      </c>
      <c r="H623" s="109">
        <f>G476</f>
        <v>68203.69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-178335.68</v>
      </c>
      <c r="H624" s="109">
        <f>H476</f>
        <v>-178335.68000000005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440229.71</v>
      </c>
      <c r="H626" s="109">
        <f>J476</f>
        <v>440229.70999999996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9479052.9600000009</v>
      </c>
      <c r="H627" s="104">
        <f>SUM(F468)</f>
        <v>9479052.9600000009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225537.02</v>
      </c>
      <c r="H628" s="104">
        <f>SUM(G468)</f>
        <v>225537.02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472738.80000000005</v>
      </c>
      <c r="H629" s="104">
        <f>SUM(H468)</f>
        <v>472738.8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79841.05</v>
      </c>
      <c r="H631" s="104">
        <f>SUM(J468)</f>
        <v>79841.05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9660818.0499999989</v>
      </c>
      <c r="H632" s="104">
        <f>SUM(F472)</f>
        <v>9660818.0500000007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476863.4</v>
      </c>
      <c r="H633" s="104">
        <f>SUM(H472)</f>
        <v>476863.4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128148.06</v>
      </c>
      <c r="H634" s="104">
        <f>I369</f>
        <v>128148.06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280130.36</v>
      </c>
      <c r="H635" s="104">
        <f>SUM(G472)</f>
        <v>280130.36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79841.05</v>
      </c>
      <c r="H637" s="164">
        <f>SUM(J468)</f>
        <v>79841.05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40653.21</v>
      </c>
      <c r="H638" s="164">
        <f>SUM(J472)</f>
        <v>40653.21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208225.42</v>
      </c>
      <c r="H639" s="104">
        <f>SUM(F461)</f>
        <v>208225.42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232004.29</v>
      </c>
      <c r="H640" s="104">
        <f>SUM(G461)</f>
        <v>232004.29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440229.71</v>
      </c>
      <c r="H642" s="104">
        <f>SUM(I461)</f>
        <v>440229.71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4841.05</v>
      </c>
      <c r="H644" s="104">
        <f>H408</f>
        <v>4841.0499999999993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75000</v>
      </c>
      <c r="H645" s="104">
        <f>G408</f>
        <v>75000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79841.05</v>
      </c>
      <c r="H646" s="104">
        <f>L408</f>
        <v>79841.05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587684.44000000006</v>
      </c>
      <c r="H647" s="104">
        <f>L208+L226+L244</f>
        <v>587684.43999999994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77978.58</v>
      </c>
      <c r="H648" s="104">
        <f>(J257+J338)-(J255+J336)</f>
        <v>77978.580000000016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360790.44</v>
      </c>
      <c r="H649" s="104">
        <f>H598</f>
        <v>360790.43999999994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226894</v>
      </c>
      <c r="H651" s="104">
        <f>J598</f>
        <v>226894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75000</v>
      </c>
      <c r="H655" s="104">
        <f>K266+K347</f>
        <v>75000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7060600.1200000001</v>
      </c>
      <c r="G660" s="19">
        <f>(L229+L309+L359)</f>
        <v>0</v>
      </c>
      <c r="H660" s="19">
        <f>(L247+L328+L360)</f>
        <v>3056279.69</v>
      </c>
      <c r="I660" s="19">
        <f>SUM(F660:H660)</f>
        <v>10116879.810000001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5733.75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5733.75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360790.44</v>
      </c>
      <c r="G662" s="19">
        <f>(L226+L306)-(J226+J306)</f>
        <v>0</v>
      </c>
      <c r="H662" s="19">
        <f>(L244+L325)-(J244+J325)</f>
        <v>226894</v>
      </c>
      <c r="I662" s="19">
        <f>SUM(F662:H662)</f>
        <v>587684.43999999994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247081.55</v>
      </c>
      <c r="G663" s="199">
        <f>SUM(G575:G587)+SUM(I602:I604)+L612</f>
        <v>0</v>
      </c>
      <c r="H663" s="199">
        <f>SUM(H575:H587)+SUM(J602:J604)+L613</f>
        <v>2829385.69</v>
      </c>
      <c r="I663" s="19">
        <f>SUM(F663:H663)</f>
        <v>3076467.2399999998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6446994.3799999999</v>
      </c>
      <c r="G664" s="19">
        <f>G660-SUM(G661:G663)</f>
        <v>0</v>
      </c>
      <c r="H664" s="19">
        <f>H660-SUM(H661:H663)</f>
        <v>0</v>
      </c>
      <c r="I664" s="19">
        <f>I660-SUM(I661:I663)</f>
        <v>6446994.3800000008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418.1</v>
      </c>
      <c r="G665" s="248"/>
      <c r="H665" s="248"/>
      <c r="I665" s="19">
        <f>SUM(F665:H665)</f>
        <v>418.1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15419.74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15419.74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15419.74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15419.74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Winchester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1754069.09</v>
      </c>
      <c r="C9" s="229">
        <f>'DOE25'!G197+'DOE25'!G215+'DOE25'!G233+'DOE25'!G276+'DOE25'!G295+'DOE25'!G314</f>
        <v>845377.61</v>
      </c>
    </row>
    <row r="10" spans="1:3" x14ac:dyDescent="0.2">
      <c r="A10" t="s">
        <v>778</v>
      </c>
      <c r="B10" s="240">
        <v>1535026.89</v>
      </c>
      <c r="C10" s="240">
        <v>830973.02</v>
      </c>
    </row>
    <row r="11" spans="1:3" x14ac:dyDescent="0.2">
      <c r="A11" t="s">
        <v>779</v>
      </c>
      <c r="B11" s="240">
        <v>24164.19</v>
      </c>
      <c r="C11" s="240">
        <v>1848.56</v>
      </c>
    </row>
    <row r="12" spans="1:3" x14ac:dyDescent="0.2">
      <c r="A12" t="s">
        <v>780</v>
      </c>
      <c r="B12" s="240">
        <v>194878.01</v>
      </c>
      <c r="C12" s="240">
        <v>12556.03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1754069.0899999999</v>
      </c>
      <c r="C13" s="231">
        <f>SUM(C10:C12)</f>
        <v>845377.6100000001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922409.36</v>
      </c>
      <c r="C18" s="229">
        <f>'DOE25'!G198+'DOE25'!G216+'DOE25'!G234+'DOE25'!G277+'DOE25'!G296+'DOE25'!G315</f>
        <v>212218.97999999998</v>
      </c>
    </row>
    <row r="19" spans="1:3" x14ac:dyDescent="0.2">
      <c r="A19" t="s">
        <v>778</v>
      </c>
      <c r="B19" s="240">
        <v>283934.69</v>
      </c>
      <c r="C19" s="240">
        <v>169322.49</v>
      </c>
    </row>
    <row r="20" spans="1:3" x14ac:dyDescent="0.2">
      <c r="A20" t="s">
        <v>779</v>
      </c>
      <c r="B20" s="240">
        <v>449886.92</v>
      </c>
      <c r="C20" s="240">
        <v>34416.35</v>
      </c>
    </row>
    <row r="21" spans="1:3" x14ac:dyDescent="0.2">
      <c r="A21" t="s">
        <v>780</v>
      </c>
      <c r="B21" s="240">
        <v>188587.75</v>
      </c>
      <c r="C21" s="240">
        <v>8480.14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922409.36</v>
      </c>
      <c r="C22" s="231">
        <f>SUM(C19:C21)</f>
        <v>212218.97999999998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25686.17</v>
      </c>
      <c r="C36" s="235">
        <f>'DOE25'!G200+'DOE25'!G218+'DOE25'!G236+'DOE25'!G279+'DOE25'!G298+'DOE25'!G317</f>
        <v>2200.15</v>
      </c>
    </row>
    <row r="37" spans="1:3" x14ac:dyDescent="0.2">
      <c r="A37" t="s">
        <v>778</v>
      </c>
      <c r="B37" s="240">
        <v>25686.17</v>
      </c>
      <c r="C37" s="240">
        <v>2200.15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25686.17</v>
      </c>
      <c r="C40" s="231">
        <f>SUM(C37:C39)</f>
        <v>2200.15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Winchester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6761489.8899999997</v>
      </c>
      <c r="D5" s="20">
        <f>SUM('DOE25'!L197:L200)+SUM('DOE25'!L215:L218)+SUM('DOE25'!L233:L236)-F5-G5</f>
        <v>6759883.5800000001</v>
      </c>
      <c r="E5" s="243"/>
      <c r="F5" s="255">
        <f>SUM('DOE25'!J197:J200)+SUM('DOE25'!J215:J218)+SUM('DOE25'!J233:J236)</f>
        <v>1347.31</v>
      </c>
      <c r="G5" s="53">
        <f>SUM('DOE25'!K197:K200)+SUM('DOE25'!K215:K218)+SUM('DOE25'!K233:K236)</f>
        <v>259</v>
      </c>
      <c r="H5" s="259"/>
    </row>
    <row r="6" spans="1:9" x14ac:dyDescent="0.2">
      <c r="A6" s="32">
        <v>2100</v>
      </c>
      <c r="B6" t="s">
        <v>800</v>
      </c>
      <c r="C6" s="245">
        <f t="shared" si="0"/>
        <v>454062.92</v>
      </c>
      <c r="D6" s="20">
        <f>'DOE25'!L202+'DOE25'!L220+'DOE25'!L238-F6-G6</f>
        <v>453662.92</v>
      </c>
      <c r="E6" s="243"/>
      <c r="F6" s="255">
        <f>'DOE25'!J202+'DOE25'!J220+'DOE25'!J238</f>
        <v>400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126585.47999999998</v>
      </c>
      <c r="D7" s="20">
        <f>'DOE25'!L203+'DOE25'!L221+'DOE25'!L239-F7-G7</f>
        <v>126585.47999999998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43248.979999999945</v>
      </c>
      <c r="D8" s="243"/>
      <c r="E8" s="20">
        <f>'DOE25'!L204+'DOE25'!L222+'DOE25'!L240-F8-G8-D9-D11</f>
        <v>32390.159999999945</v>
      </c>
      <c r="F8" s="255">
        <f>'DOE25'!J204+'DOE25'!J222+'DOE25'!J240</f>
        <v>0</v>
      </c>
      <c r="G8" s="53">
        <f>'DOE25'!K204+'DOE25'!K222+'DOE25'!K240</f>
        <v>10858.82</v>
      </c>
      <c r="H8" s="259"/>
    </row>
    <row r="9" spans="1:9" x14ac:dyDescent="0.2">
      <c r="A9" s="32">
        <v>2310</v>
      </c>
      <c r="B9" t="s">
        <v>817</v>
      </c>
      <c r="C9" s="245">
        <f t="shared" si="0"/>
        <v>62493.9</v>
      </c>
      <c r="D9" s="244">
        <v>62493.9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22550</v>
      </c>
      <c r="D10" s="243"/>
      <c r="E10" s="244">
        <v>22550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193710.8</v>
      </c>
      <c r="D11" s="244">
        <v>193710.8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195364.81999999998</v>
      </c>
      <c r="D12" s="20">
        <f>'DOE25'!L205+'DOE25'!L223+'DOE25'!L241-F12-G12</f>
        <v>195158.55999999997</v>
      </c>
      <c r="E12" s="243"/>
      <c r="F12" s="255">
        <f>'DOE25'!J205+'DOE25'!J223+'DOE25'!J241</f>
        <v>0</v>
      </c>
      <c r="G12" s="53">
        <f>'DOE25'!K205+'DOE25'!K223+'DOE25'!K241</f>
        <v>206.26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103787.89</v>
      </c>
      <c r="D13" s="243"/>
      <c r="E13" s="20">
        <f>'DOE25'!L206+'DOE25'!L224+'DOE25'!L242-F13-G13</f>
        <v>103787.89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536122.67000000004</v>
      </c>
      <c r="D14" s="20">
        <f>'DOE25'!L207+'DOE25'!L225+'DOE25'!L243-F14-G14</f>
        <v>511874.11000000004</v>
      </c>
      <c r="E14" s="243"/>
      <c r="F14" s="255">
        <f>'DOE25'!J207+'DOE25'!J225+'DOE25'!J243</f>
        <v>24248.560000000001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587684.43999999994</v>
      </c>
      <c r="D15" s="20">
        <f>'DOE25'!L208+'DOE25'!L226+'DOE25'!L244-F15-G15</f>
        <v>587684.43999999994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295334.26</v>
      </c>
      <c r="D16" s="243"/>
      <c r="E16" s="20">
        <f>'DOE25'!L209+'DOE25'!L227+'DOE25'!L245-F16-G16</f>
        <v>245788.37</v>
      </c>
      <c r="F16" s="255">
        <f>'DOE25'!J209+'DOE25'!J227+'DOE25'!J245</f>
        <v>49545.89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225932</v>
      </c>
      <c r="D25" s="243"/>
      <c r="E25" s="243"/>
      <c r="F25" s="258"/>
      <c r="G25" s="256"/>
      <c r="H25" s="257">
        <f>'DOE25'!L260+'DOE25'!L261+'DOE25'!L341+'DOE25'!L342</f>
        <v>225932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156962.68</v>
      </c>
      <c r="D29" s="20">
        <f>'DOE25'!L358+'DOE25'!L359+'DOE25'!L360-'DOE25'!I367-F29-G29</f>
        <v>118270.91999999998</v>
      </c>
      <c r="E29" s="243"/>
      <c r="F29" s="255">
        <f>'DOE25'!J358+'DOE25'!J359+'DOE25'!J360</f>
        <v>38691.760000000002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476863.4</v>
      </c>
      <c r="D31" s="20">
        <f>'DOE25'!L290+'DOE25'!L309+'DOE25'!L328+'DOE25'!L333+'DOE25'!L334+'DOE25'!L335-F31-G31</f>
        <v>474426.58</v>
      </c>
      <c r="E31" s="243"/>
      <c r="F31" s="255">
        <f>'DOE25'!J290+'DOE25'!J309+'DOE25'!J328+'DOE25'!J333+'DOE25'!J334+'DOE25'!J335</f>
        <v>2436.8200000000002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9483751.290000001</v>
      </c>
      <c r="E33" s="246">
        <f>SUM(E5:E31)</f>
        <v>404516.41999999993</v>
      </c>
      <c r="F33" s="246">
        <f>SUM(F5:F31)</f>
        <v>116670.34000000003</v>
      </c>
      <c r="G33" s="246">
        <f>SUM(G5:G31)</f>
        <v>11324.08</v>
      </c>
      <c r="H33" s="246">
        <f>SUM(H5:H31)</f>
        <v>225932</v>
      </c>
    </row>
    <row r="35" spans="2:8" ht="12" thickBot="1" x14ac:dyDescent="0.25">
      <c r="B35" s="253" t="s">
        <v>846</v>
      </c>
      <c r="D35" s="254">
        <f>E33</f>
        <v>404516.41999999993</v>
      </c>
      <c r="E35" s="249"/>
    </row>
    <row r="36" spans="2:8" ht="12" thickTop="1" x14ac:dyDescent="0.2">
      <c r="B36" t="s">
        <v>814</v>
      </c>
      <c r="D36" s="20">
        <f>D33</f>
        <v>9483751.290000001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Winchester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414320.26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606072.17000000004</v>
      </c>
      <c r="D11" s="95">
        <f>'DOE25'!G12</f>
        <v>70777</v>
      </c>
      <c r="E11" s="95">
        <f>'DOE25'!H12</f>
        <v>197643.1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34224.199999999997</v>
      </c>
      <c r="D12" s="95">
        <f>'DOE25'!G13</f>
        <v>39452.589999999997</v>
      </c>
      <c r="E12" s="95">
        <f>'DOE25'!H13</f>
        <v>0</v>
      </c>
      <c r="F12" s="95">
        <f>'DOE25'!I13</f>
        <v>0</v>
      </c>
      <c r="G12" s="95">
        <f>'DOE25'!J13</f>
        <v>440229.71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127981.87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1282.71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8329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1190927.5</v>
      </c>
      <c r="D18" s="41">
        <f>SUM(D8:D17)</f>
        <v>111512.3</v>
      </c>
      <c r="E18" s="41">
        <f>SUM(E8:E17)</f>
        <v>197643.1</v>
      </c>
      <c r="F18" s="41">
        <f>SUM(F8:F17)</f>
        <v>0</v>
      </c>
      <c r="G18" s="41">
        <f>SUM(G8:G17)</f>
        <v>440229.71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120738.92</v>
      </c>
      <c r="D21" s="95">
        <f>'DOE25'!G22</f>
        <v>38918.42</v>
      </c>
      <c r="E21" s="95">
        <f>'DOE25'!H22</f>
        <v>255843.7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111630.05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107579.33</v>
      </c>
      <c r="D23" s="95">
        <f>'DOE25'!G24</f>
        <v>4390.1899999999996</v>
      </c>
      <c r="E23" s="95">
        <f>'DOE25'!H24</f>
        <v>8505.0300000000007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294922.5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523240.75</v>
      </c>
      <c r="D31" s="41">
        <f>SUM(D21:D30)</f>
        <v>43308.61</v>
      </c>
      <c r="E31" s="41">
        <f>SUM(E21:E30)</f>
        <v>375978.78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1282.71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8329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66920.98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440229.71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28909</v>
      </c>
      <c r="D48" s="95">
        <f>'DOE25'!G49</f>
        <v>0</v>
      </c>
      <c r="E48" s="95">
        <f>'DOE25'!H49</f>
        <v>-178335.68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605448.75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667686.75</v>
      </c>
      <c r="D50" s="41">
        <f>SUM(D34:D49)</f>
        <v>68203.69</v>
      </c>
      <c r="E50" s="41">
        <f>SUM(E34:E49)</f>
        <v>-178335.68</v>
      </c>
      <c r="F50" s="41">
        <f>SUM(F34:F49)</f>
        <v>0</v>
      </c>
      <c r="G50" s="41">
        <f>SUM(G34:G49)</f>
        <v>440229.71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1190927.5</v>
      </c>
      <c r="D51" s="41">
        <f>D50+D31</f>
        <v>111512.3</v>
      </c>
      <c r="E51" s="41">
        <f>E50+E31</f>
        <v>197643.10000000003</v>
      </c>
      <c r="F51" s="41">
        <f>F50+F31</f>
        <v>0</v>
      </c>
      <c r="G51" s="41">
        <f>G50+G31</f>
        <v>440229.71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4584056.05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34224.199999999997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4841.05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5733.75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97558.720000000001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131782.91999999998</v>
      </c>
      <c r="D62" s="130">
        <f>SUM(D57:D61)</f>
        <v>5733.75</v>
      </c>
      <c r="E62" s="130">
        <f>SUM(E57:E61)</f>
        <v>0</v>
      </c>
      <c r="F62" s="130">
        <f>SUM(F57:F61)</f>
        <v>0</v>
      </c>
      <c r="G62" s="130">
        <f>SUM(G57:G61)</f>
        <v>4841.05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4715838.97</v>
      </c>
      <c r="D63" s="22">
        <f>D56+D62</f>
        <v>5733.75</v>
      </c>
      <c r="E63" s="22">
        <f>E56+E62</f>
        <v>0</v>
      </c>
      <c r="F63" s="22">
        <f>F56+F62</f>
        <v>0</v>
      </c>
      <c r="G63" s="22">
        <f>G56+G62</f>
        <v>4841.05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3972779.21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605358.94999999995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4578138.16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61298.17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4663.7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3529.02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65961.87</v>
      </c>
      <c r="D78" s="130">
        <f>SUM(D72:D77)</f>
        <v>3529.02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4644100.03</v>
      </c>
      <c r="D81" s="130">
        <f>SUM(D79:D80)+D78+D70</f>
        <v>3529.02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119113.96</v>
      </c>
      <c r="D88" s="95">
        <f>SUM('DOE25'!G153:G161)</f>
        <v>216274.25</v>
      </c>
      <c r="E88" s="95">
        <f>SUM('DOE25'!H153:H161)</f>
        <v>471299.80000000005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1439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119113.96</v>
      </c>
      <c r="D91" s="131">
        <f>SUM(D85:D90)</f>
        <v>216274.25</v>
      </c>
      <c r="E91" s="131">
        <f>SUM(E85:E90)</f>
        <v>472738.80000000005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764</v>
      </c>
      <c r="C104" s="86">
        <f>C63+C81+C91+C103</f>
        <v>9479052.9600000009</v>
      </c>
      <c r="D104" s="86">
        <f>D63+D81+D91+D103</f>
        <v>225537.02</v>
      </c>
      <c r="E104" s="86">
        <f>E63+E81+E91+E103</f>
        <v>472738.80000000005</v>
      </c>
      <c r="F104" s="86">
        <f>F63+F81+F91+F103</f>
        <v>0</v>
      </c>
      <c r="G104" s="86">
        <f>G63+G81+G103</f>
        <v>79841.05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3997925.3699999996</v>
      </c>
      <c r="D109" s="24" t="s">
        <v>288</v>
      </c>
      <c r="E109" s="95">
        <f>('DOE25'!L276)+('DOE25'!L295)+('DOE25'!L314)</f>
        <v>265325.80000000005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2724350.58</v>
      </c>
      <c r="D110" s="24" t="s">
        <v>288</v>
      </c>
      <c r="E110" s="95">
        <f>('DOE25'!L277)+('DOE25'!L296)+('DOE25'!L315)</f>
        <v>64654.799999999996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39213.94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6761489.8899999997</v>
      </c>
      <c r="D115" s="86">
        <f>SUM(D109:D114)</f>
        <v>0</v>
      </c>
      <c r="E115" s="86">
        <f>SUM(E109:E114)</f>
        <v>329980.60000000003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454062.92</v>
      </c>
      <c r="D118" s="24" t="s">
        <v>288</v>
      </c>
      <c r="E118" s="95">
        <f>+('DOE25'!L281)+('DOE25'!L300)+('DOE25'!L319)</f>
        <v>53143.66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126585.47999999998</v>
      </c>
      <c r="D119" s="24" t="s">
        <v>288</v>
      </c>
      <c r="E119" s="95">
        <f>+('DOE25'!L282)+('DOE25'!L301)+('DOE25'!L320)</f>
        <v>93739.140000000014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299453.67999999993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195364.81999999998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103787.89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536122.67000000004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587684.43999999994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295334.26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280130.36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2598396.16</v>
      </c>
      <c r="D128" s="86">
        <f>SUM(D118:D127)</f>
        <v>280130.36</v>
      </c>
      <c r="E128" s="86">
        <f>SUM(E118:E127)</f>
        <v>146882.80000000002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175000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50932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52400.41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27440.639999999999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-4841.0500000000029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300932.00000000006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9660818.0500000007</v>
      </c>
      <c r="D145" s="86">
        <f>(D115+D128+D144)</f>
        <v>280130.36</v>
      </c>
      <c r="E145" s="86">
        <f>(E115+E128+E144)</f>
        <v>476863.4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3504725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1400000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175000</v>
      </c>
    </row>
    <row r="159" spans="1:9" x14ac:dyDescent="0.2">
      <c r="A159" s="22" t="s">
        <v>35</v>
      </c>
      <c r="B159" s="137">
        <f>'DOE25'!F498</f>
        <v>1225000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1225000</v>
      </c>
    </row>
    <row r="160" spans="1:9" x14ac:dyDescent="0.2">
      <c r="A160" s="22" t="s">
        <v>36</v>
      </c>
      <c r="B160" s="137">
        <f>'DOE25'!F499</f>
        <v>154455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154455</v>
      </c>
    </row>
    <row r="161" spans="1:7" x14ac:dyDescent="0.2">
      <c r="A161" s="22" t="s">
        <v>37</v>
      </c>
      <c r="B161" s="137">
        <f>'DOE25'!F500</f>
        <v>1379455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1379455</v>
      </c>
    </row>
    <row r="162" spans="1:7" x14ac:dyDescent="0.2">
      <c r="A162" s="22" t="s">
        <v>38</v>
      </c>
      <c r="B162" s="137">
        <f>'DOE25'!F501</f>
        <v>175000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175000</v>
      </c>
    </row>
    <row r="163" spans="1:7" x14ac:dyDescent="0.2">
      <c r="A163" s="22" t="s">
        <v>39</v>
      </c>
      <c r="B163" s="137">
        <f>'DOE25'!F502</f>
        <v>47182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47182</v>
      </c>
    </row>
    <row r="164" spans="1:7" x14ac:dyDescent="0.2">
      <c r="A164" s="22" t="s">
        <v>246</v>
      </c>
      <c r="B164" s="137">
        <f>'DOE25'!F503</f>
        <v>222182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222182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Winchester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15420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15420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4263251</v>
      </c>
      <c r="D10" s="182">
        <f>ROUND((C10/$C$28)*100,1)</f>
        <v>42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2789005</v>
      </c>
      <c r="D11" s="182">
        <f>ROUND((C11/$C$28)*100,1)</f>
        <v>27.4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39214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507207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220325</v>
      </c>
      <c r="D16" s="182">
        <f t="shared" si="0"/>
        <v>2.2000000000000002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594788</v>
      </c>
      <c r="D17" s="182">
        <f t="shared" si="0"/>
        <v>5.9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195365</v>
      </c>
      <c r="D18" s="182">
        <f t="shared" si="0"/>
        <v>1.9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103788</v>
      </c>
      <c r="D19" s="182">
        <f t="shared" si="0"/>
        <v>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536123</v>
      </c>
      <c r="D20" s="182">
        <f t="shared" si="0"/>
        <v>5.3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587684</v>
      </c>
      <c r="D21" s="182">
        <f t="shared" si="0"/>
        <v>5.8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50932</v>
      </c>
      <c r="D25" s="182">
        <f t="shared" si="0"/>
        <v>0.5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274396.25</v>
      </c>
      <c r="D27" s="182">
        <f t="shared" si="0"/>
        <v>2.7</v>
      </c>
    </row>
    <row r="28" spans="1:4" x14ac:dyDescent="0.2">
      <c r="B28" s="187" t="s">
        <v>722</v>
      </c>
      <c r="C28" s="180">
        <f>SUM(C10:C27)</f>
        <v>10162078.25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10162078.25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175000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4584056</v>
      </c>
      <c r="D35" s="182">
        <f t="shared" ref="D35:D40" si="1">ROUND((C35/$C$41)*100,1)</f>
        <v>45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136624.01999999955</v>
      </c>
      <c r="D36" s="182">
        <f t="shared" si="1"/>
        <v>1.3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4578138</v>
      </c>
      <c r="D37" s="182">
        <f t="shared" si="1"/>
        <v>45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69491</v>
      </c>
      <c r="D38" s="182">
        <f t="shared" si="1"/>
        <v>0.7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808127</v>
      </c>
      <c r="D39" s="182">
        <f t="shared" si="1"/>
        <v>7.9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10176436.02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7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Winchester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2017-11-26T21:24:08Z</cp:lastPrinted>
  <dcterms:created xsi:type="dcterms:W3CDTF">1997-12-04T19:04:30Z</dcterms:created>
  <dcterms:modified xsi:type="dcterms:W3CDTF">2017-11-29T18:10:37Z</dcterms:modified>
</cp:coreProperties>
</file>