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C21" i="12"/>
  <c r="C20" i="12"/>
  <c r="C19" i="12"/>
  <c r="C12" i="12"/>
  <c r="C11" i="12"/>
  <c r="C10" i="12"/>
  <c r="B20" i="12"/>
  <c r="B19" i="12"/>
  <c r="B10" i="12"/>
  <c r="B11" i="12"/>
  <c r="J604" i="1"/>
  <c r="H604" i="1"/>
  <c r="G613" i="1"/>
  <c r="G611" i="1"/>
  <c r="J595" i="1"/>
  <c r="H595" i="1"/>
  <c r="H582" i="1"/>
  <c r="F582" i="1"/>
  <c r="G564" i="1"/>
  <c r="G562" i="1"/>
  <c r="K533" i="1"/>
  <c r="K531" i="1"/>
  <c r="H538" i="1"/>
  <c r="H531" i="1"/>
  <c r="H533" i="1"/>
  <c r="F521" i="1"/>
  <c r="F523" i="1"/>
  <c r="F502" i="1"/>
  <c r="G502" i="1"/>
  <c r="J468" i="1"/>
  <c r="G459" i="1"/>
  <c r="F459" i="1"/>
  <c r="G439" i="1"/>
  <c r="F439" i="1"/>
  <c r="H396" i="1"/>
  <c r="H392" i="1"/>
  <c r="J96" i="1"/>
  <c r="I281" i="1"/>
  <c r="I319" i="1"/>
  <c r="J317" i="1"/>
  <c r="I317" i="1"/>
  <c r="K317" i="1"/>
  <c r="I322" i="1"/>
  <c r="I284" i="1"/>
  <c r="K281" i="1"/>
  <c r="I276" i="1"/>
  <c r="I282" i="1"/>
  <c r="F233" i="1"/>
  <c r="H208" i="1"/>
  <c r="H244" i="1"/>
  <c r="G242" i="1"/>
  <c r="G240" i="1"/>
  <c r="G206" i="1"/>
  <c r="G204" i="1"/>
  <c r="F202" i="1"/>
  <c r="F197" i="1"/>
  <c r="F234" i="1"/>
  <c r="F238" i="1"/>
  <c r="F198" i="1"/>
  <c r="F57" i="1"/>
  <c r="F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F130" i="2" s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K550" i="1" s="1"/>
  <c r="L523" i="1"/>
  <c r="L526" i="1"/>
  <c r="G549" i="1" s="1"/>
  <c r="L527" i="1"/>
  <c r="G550" i="1" s="1"/>
  <c r="L528" i="1"/>
  <c r="G551" i="1" s="1"/>
  <c r="L531" i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C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D115" i="2"/>
  <c r="F115" i="2"/>
  <c r="G115" i="2"/>
  <c r="E120" i="2"/>
  <c r="E122" i="2"/>
  <c r="E123" i="2"/>
  <c r="F128" i="2"/>
  <c r="G128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H461" i="1" s="1"/>
  <c r="H641" i="1" s="1"/>
  <c r="F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1" i="1"/>
  <c r="G643" i="1"/>
  <c r="J643" i="1" s="1"/>
  <c r="G644" i="1"/>
  <c r="H644" i="1"/>
  <c r="J644" i="1" s="1"/>
  <c r="G650" i="1"/>
  <c r="G652" i="1"/>
  <c r="H652" i="1"/>
  <c r="G653" i="1"/>
  <c r="H653" i="1"/>
  <c r="G654" i="1"/>
  <c r="H654" i="1"/>
  <c r="H655" i="1"/>
  <c r="C26" i="10"/>
  <c r="E103" i="2"/>
  <c r="G62" i="2"/>
  <c r="E78" i="2"/>
  <c r="L433" i="1"/>
  <c r="I169" i="1"/>
  <c r="J140" i="1"/>
  <c r="L393" i="1"/>
  <c r="J640" i="1"/>
  <c r="G192" i="1"/>
  <c r="L309" i="1"/>
  <c r="C138" i="2"/>
  <c r="L565" i="1" l="1"/>
  <c r="L539" i="1"/>
  <c r="I552" i="1"/>
  <c r="G161" i="2"/>
  <c r="K503" i="1"/>
  <c r="G164" i="2"/>
  <c r="G156" i="2"/>
  <c r="J639" i="1"/>
  <c r="L427" i="1"/>
  <c r="C29" i="10"/>
  <c r="I52" i="1"/>
  <c r="H620" i="1" s="1"/>
  <c r="J620" i="1" s="1"/>
  <c r="E109" i="2"/>
  <c r="F662" i="1"/>
  <c r="K571" i="1"/>
  <c r="K545" i="1"/>
  <c r="K338" i="1"/>
  <c r="K352" i="1" s="1"/>
  <c r="J655" i="1"/>
  <c r="C25" i="10"/>
  <c r="L270" i="1"/>
  <c r="L382" i="1"/>
  <c r="G636" i="1" s="1"/>
  <c r="J636" i="1" s="1"/>
  <c r="C19" i="10"/>
  <c r="J257" i="1"/>
  <c r="J271" i="1" s="1"/>
  <c r="D7" i="13"/>
  <c r="C7" i="13" s="1"/>
  <c r="I545" i="1"/>
  <c r="F661" i="1"/>
  <c r="G625" i="1"/>
  <c r="J625" i="1" s="1"/>
  <c r="H545" i="1"/>
  <c r="H476" i="1"/>
  <c r="H624" i="1" s="1"/>
  <c r="I369" i="1"/>
  <c r="H634" i="1" s="1"/>
  <c r="H338" i="1"/>
  <c r="H352" i="1" s="1"/>
  <c r="H257" i="1"/>
  <c r="H271" i="1" s="1"/>
  <c r="C124" i="2"/>
  <c r="E62" i="2"/>
  <c r="E63" i="2" s="1"/>
  <c r="E31" i="2"/>
  <c r="G545" i="1"/>
  <c r="G476" i="1"/>
  <c r="H623" i="1" s="1"/>
  <c r="J623" i="1" s="1"/>
  <c r="E119" i="2"/>
  <c r="C112" i="2"/>
  <c r="D91" i="2"/>
  <c r="D81" i="2"/>
  <c r="D62" i="2"/>
  <c r="D63" i="2" s="1"/>
  <c r="D18" i="2"/>
  <c r="G552" i="1"/>
  <c r="J634" i="1"/>
  <c r="E114" i="2"/>
  <c r="E110" i="2"/>
  <c r="F338" i="1"/>
  <c r="F352" i="1" s="1"/>
  <c r="L290" i="1"/>
  <c r="C118" i="2"/>
  <c r="A40" i="12"/>
  <c r="C109" i="2"/>
  <c r="D15" i="13"/>
  <c r="C15" i="13" s="1"/>
  <c r="G649" i="1"/>
  <c r="J649" i="1" s="1"/>
  <c r="C21" i="10"/>
  <c r="E13" i="13"/>
  <c r="C13" i="13" s="1"/>
  <c r="C122" i="2"/>
  <c r="C120" i="2"/>
  <c r="C15" i="10"/>
  <c r="D6" i="13"/>
  <c r="C6" i="13" s="1"/>
  <c r="F257" i="1"/>
  <c r="F271" i="1" s="1"/>
  <c r="C10" i="10"/>
  <c r="A13" i="12"/>
  <c r="F192" i="1"/>
  <c r="C78" i="2"/>
  <c r="C81" i="2" s="1"/>
  <c r="C63" i="2"/>
  <c r="F112" i="1"/>
  <c r="J622" i="1"/>
  <c r="J617" i="1"/>
  <c r="K598" i="1"/>
  <c r="G647" i="1" s="1"/>
  <c r="K257" i="1"/>
  <c r="K271" i="1" s="1"/>
  <c r="H52" i="1"/>
  <c r="H619" i="1" s="1"/>
  <c r="J619" i="1" s="1"/>
  <c r="G624" i="1"/>
  <c r="J624" i="1" s="1"/>
  <c r="G645" i="1"/>
  <c r="J645" i="1" s="1"/>
  <c r="J641" i="1"/>
  <c r="G338" i="1"/>
  <c r="G352" i="1" s="1"/>
  <c r="E8" i="13"/>
  <c r="C8" i="13" s="1"/>
  <c r="L419" i="1"/>
  <c r="J551" i="1"/>
  <c r="J552" i="1" s="1"/>
  <c r="L544" i="1"/>
  <c r="H549" i="1"/>
  <c r="L534" i="1"/>
  <c r="F551" i="1"/>
  <c r="K551" i="1" s="1"/>
  <c r="L524" i="1"/>
  <c r="G257" i="1"/>
  <c r="G271" i="1" s="1"/>
  <c r="C85" i="2"/>
  <c r="C91" i="2" s="1"/>
  <c r="F169" i="1"/>
  <c r="C130" i="2"/>
  <c r="F22" i="13"/>
  <c r="C22" i="13" s="1"/>
  <c r="C131" i="2"/>
  <c r="H25" i="13"/>
  <c r="E125" i="2"/>
  <c r="E121" i="2"/>
  <c r="E112" i="2"/>
  <c r="C13" i="10"/>
  <c r="G661" i="1"/>
  <c r="D127" i="2"/>
  <c r="D128" i="2" s="1"/>
  <c r="D145" i="2" s="1"/>
  <c r="D19" i="13"/>
  <c r="C19" i="13" s="1"/>
  <c r="C114" i="2"/>
  <c r="C20" i="10"/>
  <c r="C123" i="2"/>
  <c r="D14" i="13"/>
  <c r="C14" i="13" s="1"/>
  <c r="C18" i="10"/>
  <c r="L247" i="1"/>
  <c r="C11" i="10"/>
  <c r="C110" i="2"/>
  <c r="C35" i="10"/>
  <c r="D12" i="13"/>
  <c r="C12" i="13" s="1"/>
  <c r="K605" i="1"/>
  <c r="G648" i="1" s="1"/>
  <c r="L570" i="1"/>
  <c r="L571" i="1" s="1"/>
  <c r="I571" i="1"/>
  <c r="J571" i="1"/>
  <c r="L256" i="1"/>
  <c r="J12" i="1"/>
  <c r="G11" i="2" s="1"/>
  <c r="G18" i="2" s="1"/>
  <c r="I446" i="1"/>
  <c r="G642" i="1" s="1"/>
  <c r="C18" i="2"/>
  <c r="L401" i="1"/>
  <c r="C139" i="2" s="1"/>
  <c r="A31" i="12"/>
  <c r="L328" i="1"/>
  <c r="H661" i="1"/>
  <c r="D18" i="13"/>
  <c r="C18" i="13" s="1"/>
  <c r="C121" i="2"/>
  <c r="C16" i="10"/>
  <c r="L229" i="1"/>
  <c r="L211" i="1"/>
  <c r="C125" i="2"/>
  <c r="C17" i="10"/>
  <c r="J338" i="1"/>
  <c r="J352" i="1" s="1"/>
  <c r="E16" i="13"/>
  <c r="D5" i="13"/>
  <c r="C5" i="13" s="1"/>
  <c r="H112" i="1"/>
  <c r="H193" i="1" s="1"/>
  <c r="G629" i="1" s="1"/>
  <c r="J629" i="1" s="1"/>
  <c r="D29" i="13"/>
  <c r="C29" i="13" s="1"/>
  <c r="G651" i="1"/>
  <c r="J651" i="1" s="1"/>
  <c r="K500" i="1"/>
  <c r="I460" i="1"/>
  <c r="I452" i="1"/>
  <c r="C119" i="2"/>
  <c r="E132" i="2"/>
  <c r="E144" i="2" s="1"/>
  <c r="H662" i="1"/>
  <c r="L362" i="1"/>
  <c r="G635" i="1" s="1"/>
  <c r="J635" i="1" s="1"/>
  <c r="E81" i="2"/>
  <c r="L351" i="1"/>
  <c r="H647" i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G104" i="2" s="1"/>
  <c r="J618" i="1"/>
  <c r="G42" i="2"/>
  <c r="J51" i="1"/>
  <c r="G16" i="2"/>
  <c r="F545" i="1"/>
  <c r="H434" i="1"/>
  <c r="D103" i="2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F552" i="1" l="1"/>
  <c r="F51" i="2"/>
  <c r="I662" i="1"/>
  <c r="H648" i="1"/>
  <c r="J648" i="1" s="1"/>
  <c r="C27" i="10"/>
  <c r="C28" i="10" s="1"/>
  <c r="D22" i="10" s="1"/>
  <c r="C144" i="2"/>
  <c r="C36" i="10"/>
  <c r="E51" i="2"/>
  <c r="G664" i="1"/>
  <c r="G667" i="1" s="1"/>
  <c r="E128" i="2"/>
  <c r="L545" i="1"/>
  <c r="I661" i="1"/>
  <c r="E115" i="2"/>
  <c r="D31" i="13"/>
  <c r="C31" i="13" s="1"/>
  <c r="L338" i="1"/>
  <c r="L352" i="1" s="1"/>
  <c r="G633" i="1" s="1"/>
  <c r="J633" i="1" s="1"/>
  <c r="F660" i="1"/>
  <c r="F664" i="1" s="1"/>
  <c r="F672" i="1" s="1"/>
  <c r="C4" i="10" s="1"/>
  <c r="C39" i="10"/>
  <c r="C104" i="2"/>
  <c r="D104" i="2"/>
  <c r="J19" i="1"/>
  <c r="G621" i="1" s="1"/>
  <c r="C25" i="13"/>
  <c r="H33" i="13"/>
  <c r="F193" i="1"/>
  <c r="G627" i="1" s="1"/>
  <c r="J627" i="1" s="1"/>
  <c r="L408" i="1"/>
  <c r="C128" i="2"/>
  <c r="H660" i="1"/>
  <c r="H664" i="1" s="1"/>
  <c r="L257" i="1"/>
  <c r="L271" i="1" s="1"/>
  <c r="G632" i="1" s="1"/>
  <c r="J632" i="1" s="1"/>
  <c r="C115" i="2"/>
  <c r="F33" i="13"/>
  <c r="I461" i="1"/>
  <c r="H642" i="1" s="1"/>
  <c r="J642" i="1" s="1"/>
  <c r="E33" i="13"/>
  <c r="D35" i="13" s="1"/>
  <c r="C16" i="13"/>
  <c r="H552" i="1"/>
  <c r="K549" i="1"/>
  <c r="K552" i="1" s="1"/>
  <c r="J647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E145" i="2"/>
  <c r="D33" i="13"/>
  <c r="D36" i="13" s="1"/>
  <c r="F667" i="1"/>
  <c r="D12" i="10"/>
  <c r="D18" i="10"/>
  <c r="D17" i="10"/>
  <c r="C145" i="2"/>
  <c r="D27" i="10"/>
  <c r="D24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G637" i="1"/>
  <c r="J637" i="1" s="1"/>
  <c r="H646" i="1"/>
  <c r="J646" i="1" s="1"/>
  <c r="H667" i="1"/>
  <c r="H672" i="1"/>
  <c r="C6" i="10" s="1"/>
  <c r="I660" i="1"/>
  <c r="I664" i="1" s="1"/>
  <c r="I672" i="1" s="1"/>
  <c r="C7" i="10" s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<sst xmlns="http://schemas.openxmlformats.org/spreadsheetml/2006/main" count="3962" uniqueCount="920">
  <si>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</si>
  <si>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</si>
  <si>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</si>
  <si>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</si>
  <si>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</si>
  <si>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</si>
  <si>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</si>
  <si>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</si>
  <si>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</si>
  <si>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</si>
  <si>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</si>
  <si>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</si>
  <si>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</si>
  <si>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</si>
  <si>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</si>
  <si>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</si>
  <si>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</si>
  <si>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</si>
  <si>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</si>
  <si>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</si>
  <si>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</si>
  <si>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</si>
  <si>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</si>
  <si>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</si>
  <si>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</si>
  <si>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</si>
  <si>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</si>
  <si>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</si>
  <si>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</si>
  <si>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</si>
  <si>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</si>
  <si>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</si>
  <si>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</si>
  <si>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</si>
  <si>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</si>
  <si>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</si>
  <si>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</si>
  <si>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</si>
  <si>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</si>
  <si>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</si>
  <si>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</si>
  <si>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</si>
  <si>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</si>
  <si>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</si>
  <si>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</si>
  <si>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</si>
  <si>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</si>
  <si>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</si>
  <si>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</si>
  <si>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</si>
  <si>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</si>
  <si>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</si>
  <si>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</si>
  <si>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</si>
  <si>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</si>
  <si>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</si>
  <si>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</si>
  <si>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</si>
  <si>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</si>
  <si>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</si>
  <si>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</si>
  <si>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</si>
  <si>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</si>
  <si>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</si>
  <si>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</si>
  <si>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</si>
  <si>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</si>
  <si>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</si>
  <si>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</si>
  <si>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</si>
  <si>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</si>
  <si>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</si>
  <si>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</si>
  <si>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</si>
  <si>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</si>
  <si>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</si>
  <si>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</si>
  <si>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</si>
  <si>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</si>
  <si>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</si>
  <si>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</si>
  <si>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</si>
  <si>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</si>
  <si>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</si>
  <si>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</si>
  <si>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</si>
  <si>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</si>
  <si>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</si>
  <si>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</si>
  <si>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</si>
  <si>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</si>
  <si>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</si>
  <si>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</si>
  <si>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</si>
  <si>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</si>
  <si>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</si>
  <si>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</si>
  <si>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</si>
  <si>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</si>
  <si>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</si>
  <si>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</si>
  <si>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</si>
  <si>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</si>
  <si>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</si>
  <si>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</si>
  <si>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</si>
  <si>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</si>
  <si>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</si>
  <si>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</si>
  <si>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</si>
  <si>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</si>
  <si>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</si>
  <si>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</si>
  <si>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</si>
  <si>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</si>
  <si>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</si>
  <si>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</si>
  <si>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</si>
  <si>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</si>
  <si>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</si>
  <si>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</si>
  <si>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</si>
  <si>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</si>
  <si>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</si>
  <si>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</si>
  <si>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</si>
  <si>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</si>
  <si>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</si>
  <si>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</si>
  <si>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</si>
  <si>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</si>
  <si>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</si>
  <si>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</si>
  <si>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</si>
  <si>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</si>
  <si>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</si>
  <si>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</si>
  <si>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</si>
  <si>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</si>
  <si>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</si>
  <si>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</si>
  <si>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</si>
  <si>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</si>
  <si>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</si>
  <si>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</si>
  <si>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</si>
  <si>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</si>
  <si>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</si>
  <si>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</si>
  <si>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</si>
  <si>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</si>
  <si>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</si>
  <si>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</si>
  <si>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</si>
  <si>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</si>
  <si>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</si>
  <si>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</si>
  <si>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</si>
  <si>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</si>
  <si>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</si>
  <si>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</si>
  <si>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</si>
  <si>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</si>
  <si>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</si>
  <si>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</si>
  <si>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</si>
  <si>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</si>
  <si>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</si>
  <si>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</si>
  <si>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</si>
  <si>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</si>
  <si>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</si>
  <si>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</si>
  <si>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</si>
  <si>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</si>
  <si>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</si>
  <si>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</si>
  <si>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</si>
  <si>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</si>
  <si>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</si>
  <si>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</si>
  <si>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</si>
  <si>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</si>
  <si>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</si>
  <si>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</si>
  <si>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</si>
  <si>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</si>
  <si>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</si>
  <si>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</si>
  <si>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</si>
  <si>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</si>
  <si>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</si>
  <si>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</si>
  <si>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</si>
  <si>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</si>
  <si>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</si>
  <si>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</si>
  <si>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</si>
  <si>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</si>
  <si>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</si>
  <si>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</si>
  <si>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</si>
  <si>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</si>
  <si>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</si>
  <si>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</si>
  <si>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</si>
  <si>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</si>
  <si>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</si>
  <si>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</si>
  <si>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</si>
  <si>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</si>
  <si>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</si>
  <si>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</si>
  <si>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</si>
  <si>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</si>
  <si>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</si>
  <si>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</si>
  <si>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</si>
  <si>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</si>
  <si>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</si>
  <si>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</si>
  <si>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</si>
  <si>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</si>
  <si>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</si>
  <si>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</si>
  <si>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</si>
  <si>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</si>
  <si>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</si>
  <si>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</si>
  <si>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</si>
  <si>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</si>
  <si>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</si>
  <si>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</si>
  <si>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</si>
  <si>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</si>
  <si>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</si>
  <si>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</si>
  <si>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</si>
  <si>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</si>
  <si>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</si>
  <si>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</si>
  <si>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</si>
  <si>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</si>
  <si>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</si>
  <si>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</si>
  <si>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</si>
  <si>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</si>
  <si>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</si>
  <si>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</si>
  <si>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</si>
  <si>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</si>
  <si>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</si>
  <si>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</si>
  <si>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</si>
  <si>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</si>
  <si>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</si>
  <si>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</si>
  <si>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</si>
  <si>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</si>
  <si>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</si>
  <si>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</si>
  <si>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</si>
  <si>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</si>
  <si>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</si>
  <si>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</si>
  <si>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</si>
  <si>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</si>
  <si>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</si>
  <si>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</si>
  <si>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</si>
  <si>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</si>
  <si>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</si>
  <si>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</si>
  <si>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</si>
  <si>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</si>
  <si>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</si>
  <si>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</si>
  <si>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</si>
  <si>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</si>
  <si>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</si>
  <si>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</si>
  <si>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</si>
  <si>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</si>
  <si>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</si>
  <si>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</si>
  <si>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</si>
  <si>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</si>
  <si>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</si>
  <si>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</si>
  <si>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</si>
  <si>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</si>
  <si>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</si>
  <si>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</si>
  <si>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</si>
  <si>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</si>
  <si>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</si>
  <si>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</si>
  <si>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</si>
  <si>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</si>
  <si>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</si>
  <si>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</si>
  <si>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</si>
  <si>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</si>
  <si>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</si>
  <si>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</si>
  <si>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</si>
  <si>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</si>
  <si>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</si>
  <si>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</si>
  <si>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</si>
  <si>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</si>
  <si>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</si>
  <si>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</si>
  <si>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</si>
  <si>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</si>
  <si>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</si>
  <si>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</si>
  <si>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</si>
  <si>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</si>
  <si>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</si>
  <si>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</si>
  <si>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</si>
  <si>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</si>
  <si>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</si>
  <si>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</si>
  <si>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</si>
  <si>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</si>
  <si>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</si>
  <si>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</si>
  <si>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</si>
  <si>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</si>
  <si>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</si>
  <si>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</si>
  <si>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</si>
  <si>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</si>
  <si>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</si>
  <si>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</si>
  <si>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</si>
  <si>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</si>
  <si>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</si>
  <si>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</si>
  <si>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</si>
  <si>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</si>
  <si>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</si>
  <si>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</si>
  <si>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</si>
  <si>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</si>
  <si>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</si>
  <si>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</si>
  <si>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</si>
  <si>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</si>
  <si>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</si>
  <si>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</si>
  <si>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</si>
  <si>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</si>
  <si>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</si>
  <si>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</si>
  <si>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</si>
  <si>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</si>
  <si>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</si>
  <si>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</si>
  <si>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</si>
  <si>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</si>
  <si>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</si>
  <si>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</si>
  <si>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</si>
  <si>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</si>
  <si>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</si>
  <si>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</si>
  <si>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</si>
  <si>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</si>
  <si>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</si>
  <si>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</si>
  <si>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</si>
  <si>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</si>
  <si>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</si>
  <si>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</si>
  <si>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</si>
  <si>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</si>
  <si>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</si>
  <si>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</si>
  <si>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</si>
  <si>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</si>
  <si>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</si>
  <si>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</si>
  <si>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</si>
  <si>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</si>
  <si>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</si>
  <si>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</si>
  <si>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</si>
  <si>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</si>
  <si>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</si>
  <si>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</si>
  <si>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</si>
  <si>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</si>
  <si>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</si>
  <si>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</si>
  <si>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</si>
  <si>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</si>
  <si>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</si>
  <si>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</si>
  <si>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</si>
  <si>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</si>
  <si>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</si>
  <si>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</si>
  <si>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</si>
  <si>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</si>
  <si>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</si>
  <si>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</si>
  <si>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</si>
  <si>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</si>
  <si>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</si>
  <si>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</si>
  <si>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</si>
  <si>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</si>
  <si>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</si>
  <si>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</si>
  <si>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</si>
  <si>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</si>
  <si>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</si>
  <si>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</si>
  <si>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</si>
  <si>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</si>
  <si>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</si>
  <si>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</si>
  <si>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</si>
  <si>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</si>
  <si>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</si>
  <si>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</si>
  <si>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</si>
  <si>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</si>
  <si>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</si>
  <si>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</si>
  <si>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</si>
  <si>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</si>
  <si>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</si>
  <si>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</si>
  <si>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</si>
  <si>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</si>
  <si>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</si>
  <si>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</si>
  <si>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</si>
  <si>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</si>
  <si>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</si>
  <si>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</si>
  <si>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</si>
  <si>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</si>
  <si>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</si>
  <si>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</si>
  <si>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</si>
  <si>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</si>
  <si>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</si>
  <si>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</si>
  <si>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</si>
  <si>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</si>
  <si>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</si>
  <si>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</si>
  <si>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</si>
  <si>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</si>
  <si>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</si>
  <si>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</si>
  <si>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</si>
  <si>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</si>
  <si>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</si>
  <si>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</si>
  <si>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</si>
  <si>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</si>
  <si>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</si>
  <si>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</si>
  <si>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</si>
  <si>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</si>
  <si>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</si>
  <si>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</si>
  <si>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</si>
  <si>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</si>
  <si>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</si>
  <si>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</si>
  <si>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</si>
  <si>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</si>
  <si>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</si>
  <si>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</si>
  <si>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</si>
  <si>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</si>
  <si>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</si>
  <si>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</si>
  <si>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</si>
  <si>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</si>
  <si>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</si>
  <si>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</si>
  <si>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</si>
  <si>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</si>
  <si>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</si>
  <si>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</si>
  <si>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</si>
  <si>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</si>
  <si>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</si>
  <si>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</si>
  <si>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</si>
  <si>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</si>
  <si>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</si>
  <si>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</si>
  <si>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</si>
  <si>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</si>
  <si>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</si>
  <si>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</si>
  <si>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</si>
  <si>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</si>
  <si>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</si>
  <si>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</si>
  <si>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</si>
  <si>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</si>
  <si>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</si>
  <si>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</si>
  <si>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</si>
  <si>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</si>
  <si>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</si>
  <si>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</si>
  <si>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</si>
  <si>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</si>
  <si>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</si>
  <si>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</si>
  <si>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</si>
  <si>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</si>
  <si>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</si>
  <si>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</si>
  <si>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</si>
  <si>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</si>
  <si>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</si>
  <si>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</si>
  <si>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</si>
  <si>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</si>
  <si>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</si>
  <si>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</si>
  <si>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</si>
  <si>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</si>
  <si>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</si>
  <si>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</si>
  <si>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</si>
  <si>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</si>
  <si>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</si>
  <si>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</si>
  <si>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</si>
  <si>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</si>
  <si>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</si>
  <si>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</si>
  <si>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</si>
  <si>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</si>
  <si>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</si>
  <si>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</si>
  <si>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</si>
  <si>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</si>
  <si>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</si>
  <si>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</si>
  <si>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</si>
  <si>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</si>
  <si>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</si>
  <si>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</si>
  <si>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</si>
  <si>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</si>
  <si>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</si>
  <si>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</si>
  <si>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</si>
  <si>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</si>
  <si>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</si>
  <si>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</si>
  <si>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</si>
  <si>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</si>
  <si>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</si>
  <si>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</si>
  <si>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</si>
  <si>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</si>
  <si>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</si>
  <si>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</si>
  <si>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</si>
  <si>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</si>
  <si>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</si>
  <si>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</si>
  <si>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</si>
  <si>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</si>
  <si>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</si>
  <si>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</si>
  <si>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</si>
  <si>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</si>
  <si>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</si>
  <si>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</si>
  <si>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</si>
  <si>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</si>
  <si>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</si>
  <si>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</si>
  <si>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</si>
  <si>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</si>
  <si>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</si>
  <si>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</si>
  <si>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</si>
  <si>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</si>
  <si>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</si>
  <si>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</si>
  <si>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</si>
  <si>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</si>
  <si>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</si>
  <si>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</si>
  <si>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</si>
  <si>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</si>
  <si>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</si>
  <si>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</si>
  <si>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</si>
  <si>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</si>
  <si>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</si>
  <si>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</si>
  <si>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</si>
  <si>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</si>
  <si>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</si>
  <si>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</si>
  <si>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</si>
  <si>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</si>
  <si>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</si>
  <si>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</si>
  <si>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</si>
  <si>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</si>
  <si>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</si>
  <si>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</si>
  <si>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</si>
  <si>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</si>
  <si>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</si>
  <si>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</si>
  <si>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</si>
  <si>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</si>
  <si>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</si>
  <si>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</si>
  <si>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</si>
  <si>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</si>
  <si>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</si>
  <si>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</si>
  <si>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</si>
  <si>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</si>
  <si>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</si>
  <si>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</si>
  <si>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</si>
  <si>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</si>
  <si>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</si>
  <si>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</si>
  <si>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</si>
  <si>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</si>
  <si>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</si>
  <si>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</si>
  <si>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</si>
  <si>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</si>
  <si>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</si>
  <si>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</si>
  <si>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</si>
  <si>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</si>
  <si>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</si>
  <si>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</si>
  <si>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</si>
  <si>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</si>
  <si>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</si>
  <si>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</si>
  <si>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</si>
  <si>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</si>
  <si>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</si>
  <si>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</si>
  <si>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</si>
  <si>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</si>
  <si>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</si>
  <si>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</si>
  <si>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</si>
  <si>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</si>
  <si>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</si>
  <si>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</si>
  <si>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</si>
  <si>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</si>
  <si>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</si>
  <si>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</si>
  <si>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</si>
  <si>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</si>
  <si>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</si>
  <si>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</si>
  <si>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</si>
  <si>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</si>
  <si>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</si>
  <si>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</si>
  <si>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</si>
  <si>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</si>
  <si>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</si>
  <si>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</si>
  <si>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</si>
  <si>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</si>
  <si>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</si>
  <si>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</si>
  <si>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</si>
  <si>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</si>
  <si>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</si>
  <si>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</si>
  <si>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</si>
  <si>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</si>
  <si>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</si>
  <si>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</si>
  <si>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</si>
  <si>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</si>
  <si>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</si>
  <si>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</si>
  <si>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</si>
  <si>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</si>
  <si>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</si>
  <si>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</si>
  <si>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</si>
  <si>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</si>
  <si>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</si>
  <si>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</si>
  <si>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</si>
  <si>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</si>
  <si>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</si>
  <si>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</si>
  <si>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</si>
  <si>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</si>
  <si>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</si>
  <si>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</si>
  <si>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</si>
  <si>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</si>
  <si>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</si>
  <si>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</si>
  <si>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</si>
  <si>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</si>
  <si>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</si>
  <si>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</si>
  <si>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</si>
  <si>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</si>
  <si>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</si>
  <si>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</si>
  <si>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</si>
  <si>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</si>
  <si>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</si>
  <si>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</si>
  <si>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</si>
  <si>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</si>
  <si>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</si>
  <si>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</si>
  <si>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</si>
  <si>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</si>
  <si>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</si>
  <si>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</si>
  <si>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</si>
  <si>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</si>
  <si>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</si>
  <si>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</si>
  <si>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</si>
  <si>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</si>
  <si>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</si>
  <si>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</si>
  <si>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</si>
  <si>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</si>
  <si>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</si>
  <si>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</si>
  <si>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</si>
  <si>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</si>
  <si>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</si>
  <si>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</si>
  <si>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</si>
  <si>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</si>
  <si>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</si>
  <si>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</si>
  <si>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</si>
  <si>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</si>
  <si>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</si>
  <si>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</si>
  <si>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</si>
  <si>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</si>
  <si>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</si>
  <si>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</si>
  <si>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</si>
  <si>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</si>
  <si>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</si>
  <si>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</si>
  <si>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</si>
  <si>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</si>
  <si>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</si>
  <si>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</si>
  <si>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</si>
  <si>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</si>
  <si>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</si>
  <si>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</si>
  <si>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</si>
  <si>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</si>
  <si>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</si>
  <si>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</si>
  <si>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</si>
  <si>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</si>
  <si>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</si>
  <si>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</si>
  <si>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</si>
  <si>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</si>
  <si>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</si>
  <si>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</si>
  <si>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</si>
  <si>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</si>
  <si>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</si>
  <si>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</si>
  <si>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</si>
  <si>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</si>
  <si>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</si>
  <si>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</si>
  <si>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</si>
  <si>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</si>
  <si>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</si>
  <si>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</si>
  <si>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</si>
  <si>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</si>
  <si>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</si>
  <si>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</si>
  <si>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</si>
  <si>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</si>
  <si>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</si>
  <si>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</si>
  <si>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</si>
  <si>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</si>
  <si>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</si>
  <si>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</si>
  <si>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</si>
  <si>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</si>
  <si>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</si>
  <si>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</si>
  <si>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</si>
  <si>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</si>
  <si>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</si>
  <si>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</si>
  <si>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</si>
  <si>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</si>
  <si>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</si>
  <si>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</si>
  <si>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</si>
  <si>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</si>
  <si>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</si>
  <si>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</si>
  <si>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</si>
  <si>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</si>
  <si>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</si>
  <si>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</si>
  <si>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</si>
  <si>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</si>
  <si>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</si>
  <si>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</si>
  <si>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</si>
  <si>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</si>
  <si>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</si>
  <si>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</si>
  <si>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</si>
  <si>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</si>
  <si>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</si>
  <si>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</si>
  <si>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</si>
  <si>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</si>
  <si>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</si>
  <si>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</si>
  <si>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</si>
  <si>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</si>
  <si>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</si>
  <si>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</si>
  <si>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</si>
  <si>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</si>
  <si>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</si>
  <si>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</si>
  <si>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</si>
  <si>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</si>
  <si>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</si>
  <si>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</si>
  <si>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</si>
  <si>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</si>
  <si>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</si>
  <si>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</si>
  <si>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</si>
  <si>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</si>
  <si>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</si>
  <si>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</si>
  <si>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</si>
  <si>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</si>
  <si>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</si>
  <si>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</si>
  <si>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</si>
  <si>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</si>
  <si>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</si>
  <si>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</si>
  <si>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</si>
  <si>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</si>
  <si>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</si>
  <si>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</si>
  <si>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</si>
  <si>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</si>
  <si>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</si>
  <si>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</si>
  <si>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</si>
  <si>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</si>
  <si>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</si>
  <si>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</si>
  <si>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</si>
  <si>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</si>
  <si>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</si>
  <si>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</si>
  <si>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</si>
  <si>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</si>
  <si>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</si>
  <si>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</si>
  <si>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</si>
  <si>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</si>
  <si>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</si>
  <si>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</si>
  <si>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</si>
  <si>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</si>
  <si>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</si>
  <si>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</si>
  <si>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</si>
  <si>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</si>
  <si>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</si>
  <si>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07/2008</t>
  </si>
  <si>
    <t>08/2018</t>
  </si>
  <si>
    <t>Refinance 01/15/15</t>
  </si>
  <si>
    <t>07/2025</t>
  </si>
  <si>
    <t>This includes  Impact Fees</t>
  </si>
  <si>
    <t xml:space="preserve">This is the amount we received for Differentiated Aid and Additional Adequacy Aid </t>
  </si>
  <si>
    <t xml:space="preserve">This amount includes commodities 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</si>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</sst>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08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919</v>
      </c>
      <c r="B2" s="21">
        <v>575</v>
      </c>
      <c r="C2" s="21">
        <v>575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5521551.6100000003</v>
      </c>
      <c r="G9" s="18"/>
      <c r="H9" s="18"/>
      <c r="I9" s="18"/>
      <c r="J9" s="67">
        <f>SUM(I439)</f>
        <v>2189911.8199999998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218578.53</v>
      </c>
      <c r="H12" s="18">
        <v>75576.03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37665.769999999997</v>
      </c>
      <c r="G13" s="18">
        <v>9213.9500000000007</v>
      </c>
      <c r="H13" s="18">
        <v>165641.20000000001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3743.8</v>
      </c>
      <c r="G14" s="18"/>
      <c r="H14" s="18">
        <v>650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34169.71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12054.12</v>
      </c>
      <c r="G17" s="18"/>
      <c r="H17" s="18">
        <v>244</v>
      </c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5575015.2999999998</v>
      </c>
      <c r="G19" s="41">
        <f>SUM(G9:G18)</f>
        <v>261962.19</v>
      </c>
      <c r="H19" s="41">
        <f>SUM(H9:H18)</f>
        <v>242111.23</v>
      </c>
      <c r="I19" s="41">
        <f>SUM(I9:I18)</f>
        <v>0</v>
      </c>
      <c r="J19" s="41">
        <f>SUM(J9:J18)</f>
        <v>2189911.8199999998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294154.56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33665.19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245360.78</v>
      </c>
      <c r="G24" s="18"/>
      <c r="H24" s="18">
        <v>803.47</v>
      </c>
      <c r="I24" s="18">
        <v>891390.39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83827.67</v>
      </c>
      <c r="G28" s="18"/>
      <c r="H28" s="18">
        <v>3850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7650</v>
      </c>
      <c r="G30" s="18">
        <v>37687.32</v>
      </c>
      <c r="H30" s="18">
        <v>62189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664658.20000000007</v>
      </c>
      <c r="G32" s="41">
        <f>SUM(G22:G31)</f>
        <v>37687.32</v>
      </c>
      <c r="H32" s="41">
        <f>SUM(H22:H31)</f>
        <v>66842.47</v>
      </c>
      <c r="I32" s="41">
        <f>SUM(I22:I31)</f>
        <v>891390.39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34169.71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190105.16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>
        <v>-891390.39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234325+100000</f>
        <v>334325</v>
      </c>
      <c r="G48" s="18"/>
      <c r="H48" s="18">
        <v>175268.76</v>
      </c>
      <c r="I48" s="18"/>
      <c r="J48" s="13">
        <f>SUM(I459)</f>
        <v>2189911.8199999998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152822.09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4323210.01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4910357.0999999996</v>
      </c>
      <c r="G51" s="41">
        <f>SUM(G35:G50)</f>
        <v>224274.87</v>
      </c>
      <c r="H51" s="41">
        <f>SUM(H35:H50)</f>
        <v>175268.76</v>
      </c>
      <c r="I51" s="41">
        <f>SUM(I35:I50)</f>
        <v>-891390.39</v>
      </c>
      <c r="J51" s="41">
        <f>SUM(J35:J50)</f>
        <v>2189911.8199999998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5575015.2999999998</v>
      </c>
      <c r="G52" s="41">
        <f>G51+G32</f>
        <v>261962.19</v>
      </c>
      <c r="H52" s="41">
        <f>H51+H32</f>
        <v>242111.23</v>
      </c>
      <c r="I52" s="41">
        <f>I51+I32</f>
        <v>0</v>
      </c>
      <c r="J52" s="41">
        <f>J51+J32</f>
        <v>2189911.8199999998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40241031-5326111</f>
        <v>34914920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34914920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67600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>
        <v>97361.81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67600</v>
      </c>
      <c r="G79" s="45" t="s">
        <v>288</v>
      </c>
      <c r="H79" s="41">
        <f>SUM(H63:H78)</f>
        <v>97361.81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11451.87</v>
      </c>
      <c r="G96" s="18"/>
      <c r="H96" s="18"/>
      <c r="I96" s="18"/>
      <c r="J96" s="18">
        <f>0.12+2.7+4.24+1.86+107.99</f>
        <v>116.91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718286.29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67728.72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79663.5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79092.600000000006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>
        <v>0</v>
      </c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265198.77</v>
      </c>
      <c r="G110" s="18">
        <v>10707.03</v>
      </c>
      <c r="H110" s="18">
        <v>46673.72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356314.14</v>
      </c>
      <c r="G111" s="41">
        <f>SUM(G96:G110)</f>
        <v>728993.32000000007</v>
      </c>
      <c r="H111" s="41">
        <f>SUM(H96:H110)</f>
        <v>193495.04000000001</v>
      </c>
      <c r="I111" s="41">
        <f>SUM(I96:I110)</f>
        <v>0</v>
      </c>
      <c r="J111" s="41">
        <f>SUM(J96:J110)</f>
        <v>116.91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35338834.140000001</v>
      </c>
      <c r="G112" s="41">
        <f>G60+G111</f>
        <v>728993.32000000007</v>
      </c>
      <c r="H112" s="41">
        <f>H60+H79+H94+H111</f>
        <v>290856.84999999998</v>
      </c>
      <c r="I112" s="41">
        <f>I60+I111</f>
        <v>0</v>
      </c>
      <c r="J112" s="41">
        <f>J60+J111</f>
        <v>116.91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5757022.3799999999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5326111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2829060.48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13912193.859999999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723425.96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291366.08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8154.2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10145.370000000001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1022946.24</v>
      </c>
      <c r="G136" s="41">
        <f>SUM(G123:G135)</f>
        <v>10145.370000000001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14935140.1</v>
      </c>
      <c r="G140" s="41">
        <f>G121+SUM(G136:G137)</f>
        <v>10145.370000000001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44389.919999999998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46117.760000000002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149766.95000000001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537830.92000000004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297405.76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297405.76</v>
      </c>
      <c r="G162" s="41">
        <f>SUM(G150:G161)</f>
        <v>149766.95000000001</v>
      </c>
      <c r="H162" s="41">
        <f>SUM(H150:H161)</f>
        <v>628338.60000000009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297405.76</v>
      </c>
      <c r="G169" s="41">
        <f>G147+G162+SUM(G163:G168)</f>
        <v>149766.95000000001</v>
      </c>
      <c r="H169" s="41">
        <f>H147+H162+SUM(H163:H168)</f>
        <v>628338.60000000009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>
        <v>0</v>
      </c>
      <c r="I179" s="18"/>
      <c r="J179" s="18">
        <v>1485125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1485125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0.48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0.48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0.48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1485125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50571380.479999997</v>
      </c>
      <c r="G193" s="47">
        <f>G112+G140+G169+G192</f>
        <v>888905.64000000013</v>
      </c>
      <c r="H193" s="47">
        <f>H112+H140+H169+H192</f>
        <v>919195.45000000007</v>
      </c>
      <c r="I193" s="47">
        <f>I112+I140+I169+I192</f>
        <v>0</v>
      </c>
      <c r="J193" s="47">
        <f>J112+J140+J192</f>
        <v>1485241.91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7585766.67+13143.84+273475.86+2507.32+20854.5+35836.2</f>
        <v>7931584.3900000006</v>
      </c>
      <c r="G197" s="18">
        <v>3514633.94</v>
      </c>
      <c r="H197" s="18">
        <v>8975.83</v>
      </c>
      <c r="I197" s="18">
        <v>338323.4</v>
      </c>
      <c r="J197" s="18">
        <v>37811.01</v>
      </c>
      <c r="K197" s="18">
        <v>1329</v>
      </c>
      <c r="L197" s="19">
        <f>SUM(F197:K197)</f>
        <v>11832657.57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2953203.1+4637.08+1500+51166.6+12985.82</f>
        <v>3023492.6</v>
      </c>
      <c r="G198" s="18">
        <v>1344424.26</v>
      </c>
      <c r="H198" s="18">
        <v>431343.25</v>
      </c>
      <c r="I198" s="18">
        <v>30537.25</v>
      </c>
      <c r="J198" s="18">
        <v>9666.5300000000007</v>
      </c>
      <c r="K198" s="18">
        <v>18622.689999999999</v>
      </c>
      <c r="L198" s="19">
        <f>SUM(F198:K198)</f>
        <v>4858086.580000001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172551.94</v>
      </c>
      <c r="G200" s="18">
        <v>103371.59</v>
      </c>
      <c r="H200" s="18">
        <v>10096.18</v>
      </c>
      <c r="I200" s="18">
        <v>8132.31</v>
      </c>
      <c r="J200" s="18">
        <v>914.85</v>
      </c>
      <c r="K200" s="18">
        <v>2345</v>
      </c>
      <c r="L200" s="19">
        <f>SUM(F200:K200)</f>
        <v>297411.87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1597844.99+394.71+35136.97+34192.6+27136.97</f>
        <v>1694706.24</v>
      </c>
      <c r="G202" s="18">
        <v>723953.01</v>
      </c>
      <c r="H202" s="18">
        <v>217387.7</v>
      </c>
      <c r="I202" s="18">
        <v>26634.33</v>
      </c>
      <c r="J202" s="18">
        <v>16077.97</v>
      </c>
      <c r="K202" s="18">
        <v>3803.41</v>
      </c>
      <c r="L202" s="19">
        <f t="shared" ref="L202:L208" si="0">SUM(F202:K202)</f>
        <v>2682562.6600000006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613536.78</v>
      </c>
      <c r="G203" s="18">
        <v>370571.41</v>
      </c>
      <c r="H203" s="18">
        <v>74979.41</v>
      </c>
      <c r="I203" s="18">
        <v>325001.34000000003</v>
      </c>
      <c r="J203" s="18">
        <v>424868.45</v>
      </c>
      <c r="K203" s="18">
        <v>0</v>
      </c>
      <c r="L203" s="19">
        <f t="shared" si="0"/>
        <v>1808957.39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686675.51</v>
      </c>
      <c r="G204" s="18">
        <f>413486.35+136399.96</f>
        <v>549886.30999999994</v>
      </c>
      <c r="H204" s="18">
        <v>98858.03</v>
      </c>
      <c r="I204" s="18">
        <v>21779.08</v>
      </c>
      <c r="J204" s="18">
        <v>4003.99</v>
      </c>
      <c r="K204" s="18">
        <v>28619.72</v>
      </c>
      <c r="L204" s="19">
        <f t="shared" si="0"/>
        <v>1389822.64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787976.65</v>
      </c>
      <c r="G205" s="18">
        <v>310114.76</v>
      </c>
      <c r="H205" s="18">
        <v>44784.44</v>
      </c>
      <c r="I205" s="18">
        <v>10586.68</v>
      </c>
      <c r="J205" s="18">
        <v>22974.99</v>
      </c>
      <c r="K205" s="18">
        <v>11843.35</v>
      </c>
      <c r="L205" s="19">
        <f t="shared" si="0"/>
        <v>1188280.8700000001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262600.84000000003</v>
      </c>
      <c r="G206" s="18">
        <f>103371.59+126407.99</f>
        <v>229779.58000000002</v>
      </c>
      <c r="H206" s="18">
        <v>37717.42</v>
      </c>
      <c r="I206" s="18">
        <v>2565.48</v>
      </c>
      <c r="J206" s="18">
        <v>0</v>
      </c>
      <c r="K206" s="18">
        <v>2333.41</v>
      </c>
      <c r="L206" s="19">
        <f t="shared" si="0"/>
        <v>534996.7300000001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768517</v>
      </c>
      <c r="G207" s="18">
        <v>310114.76</v>
      </c>
      <c r="H207" s="18">
        <v>541280.23</v>
      </c>
      <c r="I207" s="18">
        <v>454504.99</v>
      </c>
      <c r="J207" s="18">
        <v>110732.92</v>
      </c>
      <c r="K207" s="18">
        <v>0</v>
      </c>
      <c r="L207" s="19">
        <f t="shared" si="0"/>
        <v>2185149.9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/>
      <c r="H208" s="18">
        <f>1507917.76+1234.18</f>
        <v>1509151.94</v>
      </c>
      <c r="I208" s="18">
        <v>62620.85</v>
      </c>
      <c r="J208" s="18">
        <v>0</v>
      </c>
      <c r="K208" s="18">
        <v>0</v>
      </c>
      <c r="L208" s="19">
        <f t="shared" si="0"/>
        <v>1571772.79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94633.86</v>
      </c>
      <c r="I209" s="18"/>
      <c r="J209" s="18"/>
      <c r="K209" s="18">
        <v>1651.17</v>
      </c>
      <c r="L209" s="19">
        <f>SUM(F209:K209)</f>
        <v>96285.03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15941641.949999999</v>
      </c>
      <c r="G211" s="41">
        <f t="shared" si="1"/>
        <v>7456849.6199999992</v>
      </c>
      <c r="H211" s="41">
        <f t="shared" si="1"/>
        <v>3069208.29</v>
      </c>
      <c r="I211" s="41">
        <f t="shared" si="1"/>
        <v>1280685.7100000002</v>
      </c>
      <c r="J211" s="41">
        <f t="shared" si="1"/>
        <v>627050.71</v>
      </c>
      <c r="K211" s="41">
        <f t="shared" si="1"/>
        <v>70547.75</v>
      </c>
      <c r="L211" s="41">
        <f t="shared" si="1"/>
        <v>28445984.030000005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3644053.07+8652.35+0.05</f>
        <v>3652705.4699999997</v>
      </c>
      <c r="G233" s="18">
        <v>1653945.38</v>
      </c>
      <c r="H233" s="18">
        <v>5148.18</v>
      </c>
      <c r="I233" s="18">
        <v>178173.53</v>
      </c>
      <c r="J233" s="18">
        <v>63128.09</v>
      </c>
      <c r="K233" s="18">
        <v>7484</v>
      </c>
      <c r="L233" s="19">
        <f>SUM(F233:K233)</f>
        <v>5560584.6499999994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1083812.39+250.6+1022.06</f>
        <v>1085085.05</v>
      </c>
      <c r="G234" s="18">
        <v>517124.64</v>
      </c>
      <c r="H234" s="18">
        <v>949992.79</v>
      </c>
      <c r="I234" s="18">
        <v>9072.65</v>
      </c>
      <c r="J234" s="18">
        <v>5984.18</v>
      </c>
      <c r="K234" s="18">
        <v>8366.7099999999991</v>
      </c>
      <c r="L234" s="19">
        <f>SUM(F234:K234)</f>
        <v>2575626.02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106573.55</v>
      </c>
      <c r="I235" s="18"/>
      <c r="J235" s="18"/>
      <c r="K235" s="18"/>
      <c r="L235" s="19">
        <f>SUM(F235:K235)</f>
        <v>106573.55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315115.02</v>
      </c>
      <c r="G236" s="18">
        <v>103371.59</v>
      </c>
      <c r="H236" s="18">
        <v>84825.51</v>
      </c>
      <c r="I236" s="18">
        <v>28021.59</v>
      </c>
      <c r="J236" s="18">
        <v>31122.82</v>
      </c>
      <c r="K236" s="18">
        <v>91487.02</v>
      </c>
      <c r="L236" s="19">
        <f>SUM(F236:K236)</f>
        <v>653943.54999999993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627753.14+290.39</f>
        <v>628043.53</v>
      </c>
      <c r="G238" s="18">
        <v>310272.86</v>
      </c>
      <c r="H238" s="18">
        <v>97769.44</v>
      </c>
      <c r="I238" s="18">
        <v>13109.29</v>
      </c>
      <c r="J238" s="18">
        <v>9394.85</v>
      </c>
      <c r="K238" s="18">
        <v>282.79000000000002</v>
      </c>
      <c r="L238" s="19">
        <f t="shared" ref="L238:L244" si="4">SUM(F238:K238)</f>
        <v>1058872.7600000002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298113.24</v>
      </c>
      <c r="G239" s="18">
        <v>130533.27</v>
      </c>
      <c r="H239" s="18">
        <v>59811.85</v>
      </c>
      <c r="I239" s="18">
        <v>133539.9</v>
      </c>
      <c r="J239" s="18">
        <v>476547.97</v>
      </c>
      <c r="K239" s="18">
        <v>0</v>
      </c>
      <c r="L239" s="19">
        <f t="shared" si="4"/>
        <v>1098546.23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308506.39</v>
      </c>
      <c r="G240" s="18">
        <f>103371.59+61281.14</f>
        <v>164652.72999999998</v>
      </c>
      <c r="H240" s="18">
        <v>44414.48</v>
      </c>
      <c r="I240" s="18">
        <v>9784.81</v>
      </c>
      <c r="J240" s="18">
        <v>1798.9</v>
      </c>
      <c r="K240" s="18">
        <v>12858.13</v>
      </c>
      <c r="L240" s="19">
        <f t="shared" si="4"/>
        <v>542015.44000000006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315444.3</v>
      </c>
      <c r="G241" s="18">
        <v>103371.59</v>
      </c>
      <c r="H241" s="18">
        <v>18672.55</v>
      </c>
      <c r="I241" s="18">
        <v>3361.28</v>
      </c>
      <c r="J241" s="18">
        <v>19432</v>
      </c>
      <c r="K241" s="18">
        <v>24475.81</v>
      </c>
      <c r="L241" s="19">
        <f t="shared" si="4"/>
        <v>484757.53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117980.09</v>
      </c>
      <c r="G242" s="18">
        <f>103371.59+56791.99</f>
        <v>160163.57999999999</v>
      </c>
      <c r="H242" s="18">
        <v>16945.509999999998</v>
      </c>
      <c r="I242" s="18">
        <v>1152.6099999999999</v>
      </c>
      <c r="J242" s="18">
        <v>0</v>
      </c>
      <c r="K242" s="18">
        <v>1048.3399999999999</v>
      </c>
      <c r="L242" s="19">
        <f t="shared" si="4"/>
        <v>297290.13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370567.12</v>
      </c>
      <c r="G243" s="18">
        <v>206743.17</v>
      </c>
      <c r="H243" s="18">
        <v>391640.07</v>
      </c>
      <c r="I243" s="18">
        <v>326400.2</v>
      </c>
      <c r="J243" s="18">
        <v>44931.86</v>
      </c>
      <c r="K243" s="18">
        <v>0</v>
      </c>
      <c r="L243" s="19">
        <f t="shared" si="4"/>
        <v>1340282.4200000002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/>
      <c r="H244" s="18">
        <f>895653.15+7175.39+554.49</f>
        <v>903383.03</v>
      </c>
      <c r="I244" s="18">
        <v>28134</v>
      </c>
      <c r="J244" s="18">
        <v>0</v>
      </c>
      <c r="K244" s="18">
        <v>0</v>
      </c>
      <c r="L244" s="19">
        <f t="shared" si="4"/>
        <v>931517.03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42516.66</v>
      </c>
      <c r="I245" s="18"/>
      <c r="J245" s="18"/>
      <c r="K245" s="18">
        <v>741.83</v>
      </c>
      <c r="L245" s="19">
        <f>SUM(F245:K245)</f>
        <v>43258.490000000005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7091560.209999999</v>
      </c>
      <c r="G247" s="41">
        <f t="shared" si="5"/>
        <v>3350178.8099999996</v>
      </c>
      <c r="H247" s="41">
        <f t="shared" si="5"/>
        <v>2721693.62</v>
      </c>
      <c r="I247" s="41">
        <f t="shared" si="5"/>
        <v>730749.86</v>
      </c>
      <c r="J247" s="41">
        <f t="shared" si="5"/>
        <v>652340.66999999993</v>
      </c>
      <c r="K247" s="41">
        <f t="shared" si="5"/>
        <v>146744.63</v>
      </c>
      <c r="L247" s="41">
        <f t="shared" si="5"/>
        <v>14693267.799999999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374350.05</v>
      </c>
      <c r="I255" s="18"/>
      <c r="J255" s="18"/>
      <c r="K255" s="18"/>
      <c r="L255" s="19">
        <f t="shared" si="6"/>
        <v>374350.05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374350.05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374350.05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23033202.159999996</v>
      </c>
      <c r="G257" s="41">
        <f t="shared" si="8"/>
        <v>10807028.43</v>
      </c>
      <c r="H257" s="41">
        <f t="shared" si="8"/>
        <v>6165251.96</v>
      </c>
      <c r="I257" s="41">
        <f t="shared" si="8"/>
        <v>2011435.5700000003</v>
      </c>
      <c r="J257" s="41">
        <f t="shared" si="8"/>
        <v>1279391.3799999999</v>
      </c>
      <c r="K257" s="41">
        <f t="shared" si="8"/>
        <v>217292.38</v>
      </c>
      <c r="L257" s="41">
        <f t="shared" si="8"/>
        <v>43513601.880000003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2075000</v>
      </c>
      <c r="L260" s="19">
        <f>SUM(F260:K260)</f>
        <v>2075000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554868.75</v>
      </c>
      <c r="L261" s="19">
        <f>SUM(F261:K261)</f>
        <v>554868.75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1485125</v>
      </c>
      <c r="L266" s="19">
        <f t="shared" si="9"/>
        <v>1485125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4114993.75</v>
      </c>
      <c r="L270" s="41">
        <f t="shared" si="9"/>
        <v>4114993.75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23033202.159999996</v>
      </c>
      <c r="G271" s="42">
        <f t="shared" si="11"/>
        <v>10807028.43</v>
      </c>
      <c r="H271" s="42">
        <f t="shared" si="11"/>
        <v>6165251.96</v>
      </c>
      <c r="I271" s="42">
        <f t="shared" si="11"/>
        <v>2011435.5700000003</v>
      </c>
      <c r="J271" s="42">
        <f t="shared" si="11"/>
        <v>1279391.3799999999</v>
      </c>
      <c r="K271" s="42">
        <f t="shared" si="11"/>
        <v>4332286.13</v>
      </c>
      <c r="L271" s="42">
        <f t="shared" si="11"/>
        <v>47628595.630000003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41236.519999999997</v>
      </c>
      <c r="G276" s="18">
        <v>3153.4</v>
      </c>
      <c r="H276" s="18">
        <v>0</v>
      </c>
      <c r="I276" s="18">
        <f>1277.57+595+262.89</f>
        <v>2135.46</v>
      </c>
      <c r="J276" s="18">
        <v>1387</v>
      </c>
      <c r="K276" s="18"/>
      <c r="L276" s="19">
        <f>SUM(F276:K276)</f>
        <v>47912.38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269982.86</v>
      </c>
      <c r="G277" s="18">
        <v>130879.32</v>
      </c>
      <c r="H277" s="18">
        <v>6747.92</v>
      </c>
      <c r="I277" s="18">
        <v>25.98</v>
      </c>
      <c r="J277" s="18">
        <v>0</v>
      </c>
      <c r="K277" s="18">
        <v>1000</v>
      </c>
      <c r="L277" s="19">
        <f>SUM(F277:K277)</f>
        <v>408636.07999999996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58686.2</v>
      </c>
      <c r="G279" s="18">
        <v>11875.98</v>
      </c>
      <c r="H279" s="18"/>
      <c r="I279" s="18">
        <v>5005.1099999999997</v>
      </c>
      <c r="J279" s="18"/>
      <c r="K279" s="18"/>
      <c r="L279" s="19">
        <f>SUM(F279:K279)</f>
        <v>75567.289999999994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f>42.48+1077.66</f>
        <v>1120.1400000000001</v>
      </c>
      <c r="J281" s="18"/>
      <c r="K281" s="18">
        <f>1712+500+1712</f>
        <v>3924</v>
      </c>
      <c r="L281" s="19">
        <f t="shared" ref="L281:L287" si="12">SUM(F281:K281)</f>
        <v>5044.1400000000003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2760</v>
      </c>
      <c r="G282" s="18">
        <v>406.55</v>
      </c>
      <c r="H282" s="18">
        <v>15028.13</v>
      </c>
      <c r="I282" s="18">
        <f>16430.58+300+40+1+10+10+23+48+68</f>
        <v>16930.580000000002</v>
      </c>
      <c r="J282" s="18"/>
      <c r="K282" s="18"/>
      <c r="L282" s="19">
        <f t="shared" si="12"/>
        <v>35125.26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>
        <f>3465.01+40.12</f>
        <v>3505.13</v>
      </c>
      <c r="J284" s="18"/>
      <c r="K284" s="18"/>
      <c r="L284" s="19">
        <f t="shared" si="12"/>
        <v>3505.13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v>6364.48</v>
      </c>
      <c r="K286" s="18"/>
      <c r="L286" s="19">
        <f t="shared" si="12"/>
        <v>6364.48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485.2</v>
      </c>
      <c r="I287" s="18"/>
      <c r="J287" s="18"/>
      <c r="K287" s="18"/>
      <c r="L287" s="19">
        <f t="shared" si="12"/>
        <v>485.2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372665.58</v>
      </c>
      <c r="G290" s="42">
        <f t="shared" si="13"/>
        <v>146315.25</v>
      </c>
      <c r="H290" s="42">
        <f t="shared" si="13"/>
        <v>22261.25</v>
      </c>
      <c r="I290" s="42">
        <f t="shared" si="13"/>
        <v>28722.400000000001</v>
      </c>
      <c r="J290" s="42">
        <f t="shared" si="13"/>
        <v>7751.48</v>
      </c>
      <c r="K290" s="42">
        <f t="shared" si="13"/>
        <v>4924</v>
      </c>
      <c r="L290" s="41">
        <f t="shared" si="13"/>
        <v>582639.96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2250</v>
      </c>
      <c r="J314" s="18">
        <v>758</v>
      </c>
      <c r="K314" s="18"/>
      <c r="L314" s="19">
        <f>SUM(F314:K314)</f>
        <v>3008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23025.39</v>
      </c>
      <c r="G315" s="18">
        <v>12087.29</v>
      </c>
      <c r="H315" s="18">
        <v>94108.14</v>
      </c>
      <c r="I315" s="18"/>
      <c r="J315" s="18"/>
      <c r="K315" s="18"/>
      <c r="L315" s="19">
        <f>SUM(F315:K315)</f>
        <v>129220.82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10325</v>
      </c>
      <c r="G317" s="18">
        <v>789.9</v>
      </c>
      <c r="H317" s="18"/>
      <c r="I317" s="18">
        <f>2380.88+1944+56+19+202.5+43.8+240+162.5+40+192.03+90.27+1750</f>
        <v>7120.9800000000005</v>
      </c>
      <c r="J317" s="18">
        <f>5492+1000+800</f>
        <v>7292</v>
      </c>
      <c r="K317" s="18">
        <f>600+1000+8031.24+4806+500</f>
        <v>14937.24</v>
      </c>
      <c r="L317" s="19">
        <f>SUM(F317:K317)</f>
        <v>40465.120000000003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960</v>
      </c>
      <c r="G319" s="18">
        <v>192.68</v>
      </c>
      <c r="H319" s="18">
        <v>4267.92</v>
      </c>
      <c r="I319" s="18">
        <f>2728.02+484.16</f>
        <v>3212.18</v>
      </c>
      <c r="J319" s="18">
        <v>3852.45</v>
      </c>
      <c r="K319" s="18">
        <v>34039</v>
      </c>
      <c r="L319" s="19">
        <f t="shared" ref="L319:L325" si="16">SUM(F319:K319)</f>
        <v>46524.229999999996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1240</v>
      </c>
      <c r="G320" s="18">
        <v>182.65</v>
      </c>
      <c r="H320" s="18">
        <v>2977.85</v>
      </c>
      <c r="I320" s="18">
        <v>42745.1</v>
      </c>
      <c r="J320" s="18"/>
      <c r="K320" s="18"/>
      <c r="L320" s="19">
        <f t="shared" si="16"/>
        <v>47145.599999999999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>
        <f>2474.85+237.62</f>
        <v>2712.47</v>
      </c>
      <c r="J322" s="18"/>
      <c r="K322" s="18"/>
      <c r="L322" s="19">
        <f t="shared" si="16"/>
        <v>2712.47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>
        <v>1649.97</v>
      </c>
      <c r="J324" s="18"/>
      <c r="K324" s="18"/>
      <c r="L324" s="19">
        <f t="shared" si="16"/>
        <v>1649.97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35550.39</v>
      </c>
      <c r="G328" s="42">
        <f t="shared" si="17"/>
        <v>13252.52</v>
      </c>
      <c r="H328" s="42">
        <f t="shared" si="17"/>
        <v>101353.91</v>
      </c>
      <c r="I328" s="42">
        <f t="shared" si="17"/>
        <v>59690.7</v>
      </c>
      <c r="J328" s="42">
        <f t="shared" si="17"/>
        <v>11902.45</v>
      </c>
      <c r="K328" s="42">
        <f t="shared" si="17"/>
        <v>48976.24</v>
      </c>
      <c r="L328" s="41">
        <f t="shared" si="17"/>
        <v>270726.2099999999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/>
      <c r="I333" s="18">
        <v>0</v>
      </c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408215.97000000003</v>
      </c>
      <c r="G338" s="41">
        <f t="shared" si="20"/>
        <v>159567.76999999999</v>
      </c>
      <c r="H338" s="41">
        <f t="shared" si="20"/>
        <v>123615.16</v>
      </c>
      <c r="I338" s="41">
        <f t="shared" si="20"/>
        <v>88413.1</v>
      </c>
      <c r="J338" s="41">
        <f t="shared" si="20"/>
        <v>19653.93</v>
      </c>
      <c r="K338" s="41">
        <f t="shared" si="20"/>
        <v>53900.24</v>
      </c>
      <c r="L338" s="41">
        <f t="shared" si="20"/>
        <v>853366.16999999993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408215.97000000003</v>
      </c>
      <c r="G352" s="41">
        <f>G338</f>
        <v>159567.76999999999</v>
      </c>
      <c r="H352" s="41">
        <f>H338</f>
        <v>123615.16</v>
      </c>
      <c r="I352" s="41">
        <f>I338</f>
        <v>88413.1</v>
      </c>
      <c r="J352" s="41">
        <f>J338</f>
        <v>19653.93</v>
      </c>
      <c r="K352" s="47">
        <f>K338+K351</f>
        <v>53900.24</v>
      </c>
      <c r="L352" s="41">
        <f>L338+L351</f>
        <v>853366.16999999993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204649.13</v>
      </c>
      <c r="G358" s="18">
        <v>54803.85</v>
      </c>
      <c r="H358" s="18">
        <v>9823.15</v>
      </c>
      <c r="I358" s="18">
        <v>267594.18</v>
      </c>
      <c r="J358" s="18">
        <v>13705.76</v>
      </c>
      <c r="K358" s="18">
        <v>989.81</v>
      </c>
      <c r="L358" s="13">
        <f>SUM(F358:K358)</f>
        <v>551565.88000000012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129750.73</v>
      </c>
      <c r="G360" s="18">
        <v>24622.02</v>
      </c>
      <c r="H360" s="18">
        <v>4653.3</v>
      </c>
      <c r="I360" s="18">
        <v>150118.10999999999</v>
      </c>
      <c r="J360" s="18"/>
      <c r="K360" s="18">
        <v>444.7</v>
      </c>
      <c r="L360" s="19">
        <f>SUM(F360:K360)</f>
        <v>309588.86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334399.86</v>
      </c>
      <c r="G362" s="47">
        <f t="shared" si="22"/>
        <v>79425.87</v>
      </c>
      <c r="H362" s="47">
        <f t="shared" si="22"/>
        <v>14476.45</v>
      </c>
      <c r="I362" s="47">
        <f t="shared" si="22"/>
        <v>417712.29</v>
      </c>
      <c r="J362" s="47">
        <f t="shared" si="22"/>
        <v>13705.76</v>
      </c>
      <c r="K362" s="47">
        <f t="shared" si="22"/>
        <v>1434.51</v>
      </c>
      <c r="L362" s="47">
        <f t="shared" si="22"/>
        <v>861154.74000000011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249748.04</v>
      </c>
      <c r="G367" s="18"/>
      <c r="H367" s="18">
        <v>139060.04999999999</v>
      </c>
      <c r="I367" s="56">
        <f>SUM(F367:H367)</f>
        <v>388808.08999999997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17846.14</v>
      </c>
      <c r="G368" s="63"/>
      <c r="H368" s="63">
        <v>11058.06</v>
      </c>
      <c r="I368" s="56">
        <f>SUM(F368:H368)</f>
        <v>28904.199999999997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267594.18</v>
      </c>
      <c r="G369" s="47">
        <f>SUM(G367:G368)</f>
        <v>0</v>
      </c>
      <c r="H369" s="47">
        <f>SUM(H367:H368)</f>
        <v>150118.10999999999</v>
      </c>
      <c r="I369" s="47">
        <f>SUM(I367:I368)</f>
        <v>417712.29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891390.39</v>
      </c>
      <c r="I376" s="18"/>
      <c r="J376" s="18"/>
      <c r="K376" s="18"/>
      <c r="L376" s="13">
        <f t="shared" si="23"/>
        <v>891390.39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891390.39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891390.39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f>0.12+2.7+4.24</f>
        <v>7.0600000000000005</v>
      </c>
      <c r="I392" s="18"/>
      <c r="J392" s="24" t="s">
        <v>288</v>
      </c>
      <c r="K392" s="24" t="s">
        <v>288</v>
      </c>
      <c r="L392" s="56">
        <f t="shared" si="25"/>
        <v>7.0600000000000005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7.0600000000000005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7.0600000000000005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1485125</v>
      </c>
      <c r="H396" s="18">
        <f>1.86+107.99</f>
        <v>109.85</v>
      </c>
      <c r="I396" s="18"/>
      <c r="J396" s="24" t="s">
        <v>288</v>
      </c>
      <c r="K396" s="24" t="s">
        <v>288</v>
      </c>
      <c r="L396" s="56">
        <f t="shared" si="26"/>
        <v>1485234.85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1485125</v>
      </c>
      <c r="H401" s="47">
        <f>SUM(H395:H400)</f>
        <v>109.85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1485234.85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1485125</v>
      </c>
      <c r="H408" s="47">
        <f>H393+H401+H407</f>
        <v>116.91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1485241.9100000001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1500</v>
      </c>
      <c r="L426" s="56">
        <f t="shared" si="29"/>
        <v>1500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1500</v>
      </c>
      <c r="L427" s="47">
        <f t="shared" si="30"/>
        <v>1500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1500</v>
      </c>
      <c r="L434" s="47">
        <f t="shared" si="32"/>
        <v>1500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f>1646.13+27187.02+42207.92</f>
        <v>71041.070000000007</v>
      </c>
      <c r="G439" s="18">
        <f>18594.72+2100276.03</f>
        <v>2118870.75</v>
      </c>
      <c r="H439" s="18"/>
      <c r="I439" s="56">
        <f t="shared" ref="I439:I445" si="33">SUM(F439:H439)</f>
        <v>2189911.8199999998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71041.070000000007</v>
      </c>
      <c r="G446" s="13">
        <f>SUM(G439:G445)</f>
        <v>2118870.75</v>
      </c>
      <c r="H446" s="13">
        <f>SUM(H439:H445)</f>
        <v>0</v>
      </c>
      <c r="I446" s="13">
        <f>SUM(I439:I445)</f>
        <v>2189911.8199999998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1646.13+27187.02+42207.92</f>
        <v>71041.070000000007</v>
      </c>
      <c r="G459" s="18">
        <f>18594.72+2100276.03</f>
        <v>2118870.75</v>
      </c>
      <c r="H459" s="18"/>
      <c r="I459" s="56">
        <f t="shared" si="34"/>
        <v>2189911.8199999998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71041.070000000007</v>
      </c>
      <c r="G460" s="83">
        <f>SUM(G454:G459)</f>
        <v>2118870.75</v>
      </c>
      <c r="H460" s="83">
        <f>SUM(H454:H459)</f>
        <v>0</v>
      </c>
      <c r="I460" s="83">
        <f>SUM(I454:I459)</f>
        <v>2189911.8199999998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71041.070000000007</v>
      </c>
      <c r="G461" s="42">
        <f>G452+G460</f>
        <v>2118870.75</v>
      </c>
      <c r="H461" s="42">
        <f>H452+H460</f>
        <v>0</v>
      </c>
      <c r="I461" s="42">
        <f>I452+I460</f>
        <v>2189911.8199999998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1967572.25</v>
      </c>
      <c r="G465" s="18">
        <v>196523.97</v>
      </c>
      <c r="H465" s="18">
        <v>109439.48</v>
      </c>
      <c r="I465" s="18">
        <v>0</v>
      </c>
      <c r="J465" s="18">
        <v>706169.91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50571380.479999997</v>
      </c>
      <c r="G468" s="18">
        <v>888905.64</v>
      </c>
      <c r="H468" s="18">
        <v>919195.45</v>
      </c>
      <c r="I468" s="18">
        <v>0</v>
      </c>
      <c r="J468" s="18">
        <f>0.12+2.7+4.24+1.86+107.99+1485125</f>
        <v>1485241.91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50571380.479999997</v>
      </c>
      <c r="G470" s="53">
        <f>SUM(G468:G469)</f>
        <v>888905.64</v>
      </c>
      <c r="H470" s="53">
        <f>SUM(H468:H469)</f>
        <v>919195.45</v>
      </c>
      <c r="I470" s="53">
        <f>SUM(I468:I469)</f>
        <v>0</v>
      </c>
      <c r="J470" s="53">
        <f>SUM(J468:J469)</f>
        <v>1485241.91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47628595.630000003</v>
      </c>
      <c r="G472" s="18">
        <v>861154.74</v>
      </c>
      <c r="H472" s="18">
        <v>853366.17</v>
      </c>
      <c r="I472" s="18">
        <v>891390.39</v>
      </c>
      <c r="J472" s="18">
        <v>1500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47628595.630000003</v>
      </c>
      <c r="G474" s="53">
        <f>SUM(G472:G473)</f>
        <v>861154.74</v>
      </c>
      <c r="H474" s="53">
        <f>SUM(H472:H473)</f>
        <v>853366.17</v>
      </c>
      <c r="I474" s="53">
        <f>SUM(I472:I473)</f>
        <v>891390.39</v>
      </c>
      <c r="J474" s="53">
        <f>SUM(J472:J473)</f>
        <v>1500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4910357.099999994</v>
      </c>
      <c r="G476" s="53">
        <f>(G465+G470)- G474</f>
        <v>224274.87000000011</v>
      </c>
      <c r="H476" s="53">
        <f>(H465+H470)- H474</f>
        <v>175268.75999999989</v>
      </c>
      <c r="I476" s="53">
        <f>(I465+I470)- I474</f>
        <v>-891390.39</v>
      </c>
      <c r="J476" s="53">
        <f>(J465+J470)- J474</f>
        <v>2189911.8199999998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11</v>
      </c>
      <c r="G490" s="154">
        <v>10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 t="s">
        <v>912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 t="s">
        <v>913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19305000</v>
      </c>
      <c r="G493" s="18">
        <v>4000000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</v>
      </c>
      <c r="G494" s="18">
        <v>3.69</v>
      </c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16745000</v>
      </c>
      <c r="G495" s="18">
        <v>1115000</v>
      </c>
      <c r="H495" s="18"/>
      <c r="I495" s="18"/>
      <c r="J495" s="18"/>
      <c r="K495" s="53">
        <f>SUM(F495:J495)</f>
        <v>17860000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1700000</v>
      </c>
      <c r="G497" s="18">
        <v>375000</v>
      </c>
      <c r="H497" s="18"/>
      <c r="I497" s="18"/>
      <c r="J497" s="18"/>
      <c r="K497" s="53">
        <f t="shared" si="35"/>
        <v>2075000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15045000</v>
      </c>
      <c r="G498" s="204">
        <v>740000</v>
      </c>
      <c r="H498" s="204"/>
      <c r="I498" s="204"/>
      <c r="J498" s="204"/>
      <c r="K498" s="205">
        <f t="shared" si="35"/>
        <v>15785000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2548087.5</v>
      </c>
      <c r="G499" s="18">
        <v>38850</v>
      </c>
      <c r="H499" s="18"/>
      <c r="I499" s="18"/>
      <c r="J499" s="18"/>
      <c r="K499" s="53">
        <f t="shared" si="35"/>
        <v>2586937.5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17593087.5</v>
      </c>
      <c r="G500" s="42">
        <f>SUM(G498:G499)</f>
        <v>778850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18371937.5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1445000</v>
      </c>
      <c r="G501" s="204">
        <v>370000</v>
      </c>
      <c r="H501" s="204"/>
      <c r="I501" s="204"/>
      <c r="J501" s="204"/>
      <c r="K501" s="205">
        <f t="shared" si="35"/>
        <v>1815000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244587.5+233750</f>
        <v>478337.5</v>
      </c>
      <c r="G502" s="18">
        <f>19425+9712.5</f>
        <v>29137.5</v>
      </c>
      <c r="H502" s="18"/>
      <c r="I502" s="18"/>
      <c r="J502" s="18"/>
      <c r="K502" s="53">
        <f t="shared" si="35"/>
        <v>507475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1923337.5</v>
      </c>
      <c r="G503" s="42">
        <f>SUM(G501:G502)</f>
        <v>399137.5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2322475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2836698.9+4637.08+51166.6+12985.82+1500</f>
        <v>2906988.4</v>
      </c>
      <c r="G521" s="18">
        <v>1371931.99</v>
      </c>
      <c r="H521" s="18">
        <v>954606.14</v>
      </c>
      <c r="I521" s="18">
        <v>30348.73</v>
      </c>
      <c r="J521" s="18">
        <v>9666.5300000000007</v>
      </c>
      <c r="K521" s="18">
        <v>18622.689999999999</v>
      </c>
      <c r="L521" s="88">
        <f>SUM(F521:K521)</f>
        <v>5292164.4800000004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940519.8+250.6+1022.06</f>
        <v>941792.46000000008</v>
      </c>
      <c r="G523" s="18">
        <v>425840.34</v>
      </c>
      <c r="H523" s="18">
        <v>526913.69999999995</v>
      </c>
      <c r="I523" s="18">
        <v>8987.9599999999991</v>
      </c>
      <c r="J523" s="18">
        <v>5984.18</v>
      </c>
      <c r="K523" s="18">
        <v>8366.7099999999991</v>
      </c>
      <c r="L523" s="88">
        <f>SUM(F523:K523)</f>
        <v>1917885.3499999999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3848780.86</v>
      </c>
      <c r="G524" s="108">
        <f t="shared" ref="G524:L524" si="36">SUM(G521:G523)</f>
        <v>1797772.33</v>
      </c>
      <c r="H524" s="108">
        <f t="shared" si="36"/>
        <v>1481519.8399999999</v>
      </c>
      <c r="I524" s="108">
        <f t="shared" si="36"/>
        <v>39336.69</v>
      </c>
      <c r="J524" s="108">
        <f t="shared" si="36"/>
        <v>15650.710000000001</v>
      </c>
      <c r="K524" s="108">
        <f t="shared" si="36"/>
        <v>26989.399999999998</v>
      </c>
      <c r="L524" s="89">
        <f t="shared" si="36"/>
        <v>7210049.8300000001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926496.99</v>
      </c>
      <c r="G526" s="18">
        <v>413838.25</v>
      </c>
      <c r="H526" s="18">
        <v>217387.7</v>
      </c>
      <c r="I526" s="18">
        <v>13054.25</v>
      </c>
      <c r="J526" s="18">
        <v>13576.58</v>
      </c>
      <c r="K526" s="18">
        <v>351.21</v>
      </c>
      <c r="L526" s="88">
        <f>SUM(F526:K526)</f>
        <v>1584704.98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119927.32</v>
      </c>
      <c r="G528" s="18">
        <v>51843.89</v>
      </c>
      <c r="H528" s="18">
        <v>97666.94</v>
      </c>
      <c r="I528" s="18">
        <v>4526.07</v>
      </c>
      <c r="J528" s="18">
        <v>772.93</v>
      </c>
      <c r="K528" s="18">
        <v>157.79</v>
      </c>
      <c r="L528" s="88">
        <f>SUM(F528:K528)</f>
        <v>274894.94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1046424.31</v>
      </c>
      <c r="G529" s="89">
        <f t="shared" ref="G529:L529" si="37">SUM(G526:G528)</f>
        <v>465682.14</v>
      </c>
      <c r="H529" s="89">
        <f t="shared" si="37"/>
        <v>315054.64</v>
      </c>
      <c r="I529" s="89">
        <f t="shared" si="37"/>
        <v>17580.32</v>
      </c>
      <c r="J529" s="89">
        <f t="shared" si="37"/>
        <v>14349.51</v>
      </c>
      <c r="K529" s="89">
        <f t="shared" si="37"/>
        <v>509</v>
      </c>
      <c r="L529" s="89">
        <f t="shared" si="37"/>
        <v>1859599.92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380645.45</v>
      </c>
      <c r="G531" s="18">
        <v>206743.17</v>
      </c>
      <c r="H531" s="18">
        <f>1636.65+1014.92+289.8+1020+840+520+202.01</f>
        <v>5523.380000000001</v>
      </c>
      <c r="I531" s="18">
        <v>274.52999999999997</v>
      </c>
      <c r="J531" s="18"/>
      <c r="K531" s="18">
        <f>1285.75+1845</f>
        <v>3130.75</v>
      </c>
      <c r="L531" s="88">
        <f>SUM(F531:K531)</f>
        <v>596317.28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163693.49</v>
      </c>
      <c r="G533" s="18">
        <v>72360.11</v>
      </c>
      <c r="H533" s="18">
        <f>735.3+547.29+130.2+552.32+770+101.01</f>
        <v>2836.1200000000003</v>
      </c>
      <c r="I533" s="18">
        <v>123.34</v>
      </c>
      <c r="J533" s="18"/>
      <c r="K533" s="18">
        <f>577.65+1308</f>
        <v>1885.65</v>
      </c>
      <c r="L533" s="88">
        <f>SUM(F533:K533)</f>
        <v>240898.70999999996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544338.93999999994</v>
      </c>
      <c r="G534" s="89">
        <f t="shared" ref="G534:L534" si="38">SUM(G531:G533)</f>
        <v>279103.28000000003</v>
      </c>
      <c r="H534" s="89">
        <f t="shared" si="38"/>
        <v>8359.5000000000018</v>
      </c>
      <c r="I534" s="89">
        <f t="shared" si="38"/>
        <v>397.87</v>
      </c>
      <c r="J534" s="89">
        <f t="shared" si="38"/>
        <v>0</v>
      </c>
      <c r="K534" s="89">
        <f t="shared" si="38"/>
        <v>5016.3999999999996</v>
      </c>
      <c r="L534" s="89">
        <f t="shared" si="38"/>
        <v>837215.99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1926.35</v>
      </c>
      <c r="I536" s="18"/>
      <c r="J536" s="18"/>
      <c r="K536" s="18"/>
      <c r="L536" s="88">
        <f>SUM(F536:K536)</f>
        <v>1926.35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2791.81*0.31</f>
        <v>865.46109999999999</v>
      </c>
      <c r="I538" s="18"/>
      <c r="J538" s="18"/>
      <c r="K538" s="18"/>
      <c r="L538" s="88">
        <f>SUM(F538:K538)</f>
        <v>865.46109999999999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2791.8110999999999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2791.8110999999999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467502.29</v>
      </c>
      <c r="I541" s="18"/>
      <c r="J541" s="18"/>
      <c r="K541" s="18"/>
      <c r="L541" s="88">
        <f>SUM(F541:K541)</f>
        <v>467502.29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210037.26</v>
      </c>
      <c r="I543" s="18"/>
      <c r="J543" s="18"/>
      <c r="K543" s="18"/>
      <c r="L543" s="88">
        <f>SUM(F543:K543)</f>
        <v>210037.26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677539.55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677539.55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5439544.1099999994</v>
      </c>
      <c r="G545" s="89">
        <f t="shared" ref="G545:L545" si="41">G524+G529+G534+G539+G544</f>
        <v>2542557.75</v>
      </c>
      <c r="H545" s="89">
        <f t="shared" si="41"/>
        <v>2485265.3410999998</v>
      </c>
      <c r="I545" s="89">
        <f t="shared" si="41"/>
        <v>57314.880000000005</v>
      </c>
      <c r="J545" s="89">
        <f t="shared" si="41"/>
        <v>30000.22</v>
      </c>
      <c r="K545" s="89">
        <f t="shared" si="41"/>
        <v>32514.799999999996</v>
      </c>
      <c r="L545" s="89">
        <f t="shared" si="41"/>
        <v>10587197.101100001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5292164.4800000004</v>
      </c>
      <c r="G549" s="87">
        <f>L526</f>
        <v>1584704.98</v>
      </c>
      <c r="H549" s="87">
        <f>L531</f>
        <v>596317.28</v>
      </c>
      <c r="I549" s="87">
        <f>L536</f>
        <v>1926.35</v>
      </c>
      <c r="J549" s="87">
        <f>L541</f>
        <v>467502.29</v>
      </c>
      <c r="K549" s="87">
        <f>SUM(F549:J549)</f>
        <v>7942615.3800000008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1917885.3499999999</v>
      </c>
      <c r="G551" s="87">
        <f>L528</f>
        <v>274894.94</v>
      </c>
      <c r="H551" s="87">
        <f>L533</f>
        <v>240898.70999999996</v>
      </c>
      <c r="I551" s="87">
        <f>L538</f>
        <v>865.46109999999999</v>
      </c>
      <c r="J551" s="87">
        <f>L543</f>
        <v>210037.26</v>
      </c>
      <c r="K551" s="87">
        <f>SUM(F551:J551)</f>
        <v>2644581.7210999997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7210049.8300000001</v>
      </c>
      <c r="G552" s="89">
        <f t="shared" si="42"/>
        <v>1859599.92</v>
      </c>
      <c r="H552" s="89">
        <f t="shared" si="42"/>
        <v>837215.99</v>
      </c>
      <c r="I552" s="89">
        <f t="shared" si="42"/>
        <v>2791.8110999999999</v>
      </c>
      <c r="J552" s="89">
        <f t="shared" si="42"/>
        <v>677539.55</v>
      </c>
      <c r="K552" s="89">
        <f t="shared" si="42"/>
        <v>10587197.101100001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87457.29</v>
      </c>
      <c r="G562" s="18">
        <f>29558.02*0.69</f>
        <v>20395.033799999997</v>
      </c>
      <c r="H562" s="18">
        <v>1132.04</v>
      </c>
      <c r="I562" s="18">
        <v>188.51</v>
      </c>
      <c r="J562" s="18"/>
      <c r="K562" s="18"/>
      <c r="L562" s="88">
        <f>SUM(F562:K562)</f>
        <v>109172.87379999997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39292.410000000003</v>
      </c>
      <c r="G564" s="18">
        <f>29558.02*0.31</f>
        <v>9162.9861999999994</v>
      </c>
      <c r="H564" s="18">
        <v>508.6</v>
      </c>
      <c r="I564" s="18">
        <v>84.7</v>
      </c>
      <c r="J564" s="18"/>
      <c r="K564" s="18"/>
      <c r="L564" s="88">
        <f>SUM(F564:K564)</f>
        <v>49048.696199999998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126749.7</v>
      </c>
      <c r="G565" s="89">
        <f t="shared" si="44"/>
        <v>29558.019999999997</v>
      </c>
      <c r="H565" s="89">
        <f t="shared" si="44"/>
        <v>1640.6399999999999</v>
      </c>
      <c r="I565" s="89">
        <f t="shared" si="44"/>
        <v>273.20999999999998</v>
      </c>
      <c r="J565" s="89">
        <f t="shared" si="44"/>
        <v>0</v>
      </c>
      <c r="K565" s="89">
        <f t="shared" si="44"/>
        <v>0</v>
      </c>
      <c r="L565" s="89">
        <f t="shared" si="44"/>
        <v>158221.56999999998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126749.7</v>
      </c>
      <c r="G571" s="89">
        <f t="shared" ref="G571:L571" si="46">G560+G565+G570</f>
        <v>29558.019999999997</v>
      </c>
      <c r="H571" s="89">
        <f t="shared" si="46"/>
        <v>1640.6399999999999</v>
      </c>
      <c r="I571" s="89">
        <f t="shared" si="46"/>
        <v>273.20999999999998</v>
      </c>
      <c r="J571" s="89">
        <f t="shared" si="46"/>
        <v>0</v>
      </c>
      <c r="K571" s="89">
        <f t="shared" si="46"/>
        <v>0</v>
      </c>
      <c r="L571" s="89">
        <f t="shared" si="46"/>
        <v>158221.56999999998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588.3+257578.02</f>
        <v>258166.31999999998</v>
      </c>
      <c r="G582" s="18"/>
      <c r="H582" s="18">
        <f>28756+696023.58</f>
        <v>724779.58</v>
      </c>
      <c r="I582" s="87">
        <f t="shared" si="47"/>
        <v>982945.89999999991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140452.87</v>
      </c>
      <c r="I583" s="87">
        <f t="shared" si="47"/>
        <v>140452.87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106573.55</v>
      </c>
      <c r="I584" s="87">
        <f t="shared" si="47"/>
        <v>106573.55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1042463.56</v>
      </c>
      <c r="I591" s="18"/>
      <c r="J591" s="18">
        <v>468353.19</v>
      </c>
      <c r="K591" s="104">
        <f t="shared" ref="K591:K597" si="48">SUM(H591:J591)</f>
        <v>1510816.75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467502.29</v>
      </c>
      <c r="I592" s="18"/>
      <c r="J592" s="18">
        <v>210037.26</v>
      </c>
      <c r="K592" s="104">
        <f t="shared" si="48"/>
        <v>677539.55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106837.23</v>
      </c>
      <c r="K593" s="104">
        <f t="shared" si="48"/>
        <v>106837.23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19290.55</v>
      </c>
      <c r="I594" s="18"/>
      <c r="J594" s="18">
        <v>123080.24</v>
      </c>
      <c r="K594" s="104">
        <f t="shared" si="48"/>
        <v>142370.79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6828.44+1234.18</f>
        <v>8062.62</v>
      </c>
      <c r="I595" s="18"/>
      <c r="J595" s="18">
        <f>7175.39+554.49</f>
        <v>7729.88</v>
      </c>
      <c r="K595" s="104">
        <f t="shared" si="48"/>
        <v>15792.5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34453.769999999997</v>
      </c>
      <c r="I597" s="18"/>
      <c r="J597" s="18">
        <v>15479.23</v>
      </c>
      <c r="K597" s="104">
        <f t="shared" si="48"/>
        <v>49933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1571772.7900000003</v>
      </c>
      <c r="I598" s="108">
        <f>SUM(I591:I597)</f>
        <v>0</v>
      </c>
      <c r="J598" s="108">
        <f>SUM(J591:J597)</f>
        <v>931517.02999999991</v>
      </c>
      <c r="K598" s="108">
        <f>SUM(K591:K597)</f>
        <v>2503289.8199999998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627050.71+1387+1982+4382.48</f>
        <v>634802.18999999994</v>
      </c>
      <c r="I604" s="18"/>
      <c r="J604" s="18">
        <f>656193.12+758+4792+700+1000+800</f>
        <v>664243.12</v>
      </c>
      <c r="K604" s="104">
        <f>SUM(H604:J604)</f>
        <v>1299045.31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634802.18999999994</v>
      </c>
      <c r="I605" s="108">
        <f>SUM(I602:I604)</f>
        <v>0</v>
      </c>
      <c r="J605" s="108">
        <f>SUM(J602:J604)</f>
        <v>664243.12</v>
      </c>
      <c r="K605" s="108">
        <f>SUM(K602:K604)</f>
        <v>1299045.31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90908.39</v>
      </c>
      <c r="G611" s="18">
        <f>20389.08*0.69</f>
        <v>14068.465200000001</v>
      </c>
      <c r="H611" s="18">
        <v>43614.75</v>
      </c>
      <c r="I611" s="18">
        <v>296.42</v>
      </c>
      <c r="J611" s="18"/>
      <c r="K611" s="18"/>
      <c r="L611" s="88">
        <f>SUM(F611:K611)</f>
        <v>148888.0252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40842.9</v>
      </c>
      <c r="G613" s="18">
        <f>20389.08*0.31</f>
        <v>6320.6148000000003</v>
      </c>
      <c r="H613" s="18">
        <v>19595.03</v>
      </c>
      <c r="I613" s="18">
        <v>133.16999999999999</v>
      </c>
      <c r="J613" s="18"/>
      <c r="K613" s="18"/>
      <c r="L613" s="88">
        <f>SUM(F613:K613)</f>
        <v>66891.714800000002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131751.29</v>
      </c>
      <c r="G614" s="108">
        <f t="shared" si="49"/>
        <v>20389.080000000002</v>
      </c>
      <c r="H614" s="108">
        <f t="shared" si="49"/>
        <v>63209.78</v>
      </c>
      <c r="I614" s="108">
        <f t="shared" si="49"/>
        <v>429.59000000000003</v>
      </c>
      <c r="J614" s="108">
        <f t="shared" si="49"/>
        <v>0</v>
      </c>
      <c r="K614" s="108">
        <f t="shared" si="49"/>
        <v>0</v>
      </c>
      <c r="L614" s="89">
        <f t="shared" si="49"/>
        <v>215779.74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5575015.2999999998</v>
      </c>
      <c r="H617" s="109">
        <f>SUM(F52)</f>
        <v>5575015.2999999998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261962.19</v>
      </c>
      <c r="H618" s="109">
        <f>SUM(G52)</f>
        <v>261962.19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242111.23</v>
      </c>
      <c r="H619" s="109">
        <f>SUM(H52)</f>
        <v>242111.23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2189911.8199999998</v>
      </c>
      <c r="H621" s="109">
        <f>SUM(J52)</f>
        <v>2189911.8199999998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4910357.0999999996</v>
      </c>
      <c r="H622" s="109">
        <f>F476</f>
        <v>4910357.099999994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224274.87</v>
      </c>
      <c r="H623" s="109">
        <f>G476</f>
        <v>224274.87000000011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175268.76</v>
      </c>
      <c r="H624" s="109">
        <f>H476</f>
        <v>175268.75999999989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-891390.39</v>
      </c>
      <c r="H625" s="109">
        <f>I476</f>
        <v>-891390.39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2189911.8199999998</v>
      </c>
      <c r="H626" s="109">
        <f>J476</f>
        <v>2189911.8199999998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50571380.479999997</v>
      </c>
      <c r="H627" s="104">
        <f>SUM(F468)</f>
        <v>50571380.479999997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888905.64000000013</v>
      </c>
      <c r="H628" s="104">
        <f>SUM(G468)</f>
        <v>888905.64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919195.45000000007</v>
      </c>
      <c r="H629" s="104">
        <f>SUM(H468)</f>
        <v>919195.45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1485241.91</v>
      </c>
      <c r="H631" s="104">
        <f>SUM(J468)</f>
        <v>1485241.91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47628595.630000003</v>
      </c>
      <c r="H632" s="104">
        <f>SUM(F472)</f>
        <v>47628595.630000003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853366.16999999993</v>
      </c>
      <c r="H633" s="104">
        <f>SUM(H472)</f>
        <v>853366.17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417712.29</v>
      </c>
      <c r="H634" s="104">
        <f>I369</f>
        <v>417712.29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861154.74000000011</v>
      </c>
      <c r="H635" s="104">
        <f>SUM(G472)</f>
        <v>861154.74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891390.39</v>
      </c>
      <c r="H636" s="104">
        <f>SUM(I472)</f>
        <v>891390.39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1485241.9100000001</v>
      </c>
      <c r="H637" s="164">
        <f>SUM(J468)</f>
        <v>1485241.91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1500</v>
      </c>
      <c r="H638" s="164">
        <f>SUM(J472)</f>
        <v>1500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71041.070000000007</v>
      </c>
      <c r="H639" s="104">
        <f>SUM(F461)</f>
        <v>71041.070000000007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2118870.75</v>
      </c>
      <c r="H640" s="104">
        <f>SUM(G461)</f>
        <v>2118870.75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2189911.8199999998</v>
      </c>
      <c r="H642" s="104">
        <f>SUM(I461)</f>
        <v>2189911.8199999998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116.91</v>
      </c>
      <c r="H644" s="104">
        <f>H408</f>
        <v>116.91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1485125</v>
      </c>
      <c r="H645" s="104">
        <f>G408</f>
        <v>1485125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1485241.91</v>
      </c>
      <c r="H646" s="104">
        <f>L408</f>
        <v>1485241.9100000001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2503289.8199999998</v>
      </c>
      <c r="H647" s="104">
        <f>L208+L226+L244</f>
        <v>2503289.8200000003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1299045.31</v>
      </c>
      <c r="H648" s="104">
        <f>(J257+J338)-(J255+J336)</f>
        <v>1299045.3099999998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1571772.79</v>
      </c>
      <c r="H649" s="104">
        <f>H598</f>
        <v>1571772.7900000003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931517.03</v>
      </c>
      <c r="H651" s="104">
        <f>J598</f>
        <v>931517.02999999991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1485125</v>
      </c>
      <c r="H655" s="104">
        <f>K266+K347</f>
        <v>1485125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29580189.870000005</v>
      </c>
      <c r="G660" s="19">
        <f>(L229+L309+L359)</f>
        <v>0</v>
      </c>
      <c r="H660" s="19">
        <f>(L247+L328+L360)</f>
        <v>15273582.869999997</v>
      </c>
      <c r="I660" s="19">
        <f>SUM(F660:H660)</f>
        <v>44853772.740000002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466917.06308197486</v>
      </c>
      <c r="G661" s="19">
        <f>(L359/IF(SUM(L358:L360)=0,1,SUM(L358:L360))*(SUM(G97:G110)))</f>
        <v>0</v>
      </c>
      <c r="H661" s="19">
        <f>(L360/IF(SUM(L358:L360)=0,1,SUM(L358:L360))*(SUM(G97:G110)))</f>
        <v>262076.25691802517</v>
      </c>
      <c r="I661" s="19">
        <f>SUM(F661:H661)</f>
        <v>728993.32000000007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1572257.99</v>
      </c>
      <c r="G662" s="19">
        <f>(L226+L306)-(J226+J306)</f>
        <v>0</v>
      </c>
      <c r="H662" s="19">
        <f>(L244+L325)-(J244+J325)</f>
        <v>931517.03</v>
      </c>
      <c r="I662" s="19">
        <f>SUM(F662:H662)</f>
        <v>2503775.02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1041856.5351999999</v>
      </c>
      <c r="G663" s="199">
        <f>SUM(G575:G587)+SUM(I602:I604)+L612</f>
        <v>0</v>
      </c>
      <c r="H663" s="199">
        <f>SUM(H575:H587)+SUM(J602:J604)+L613</f>
        <v>1702940.8348000001</v>
      </c>
      <c r="I663" s="19">
        <f>SUM(F663:H663)</f>
        <v>2744797.37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26499158.281718031</v>
      </c>
      <c r="G664" s="19">
        <f>G660-SUM(G661:G663)</f>
        <v>0</v>
      </c>
      <c r="H664" s="19">
        <f>H660-SUM(H661:H663)</f>
        <v>12377048.748281972</v>
      </c>
      <c r="I664" s="19">
        <f>I660-SUM(I661:I663)</f>
        <v>38876207.030000001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1962.33</v>
      </c>
      <c r="G665" s="248"/>
      <c r="H665" s="248">
        <v>898.05</v>
      </c>
      <c r="I665" s="19">
        <f>SUM(F665:H665)</f>
        <v>2860.38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13503.93</v>
      </c>
      <c r="G667" s="19" t="e">
        <f>ROUND(G664/G665,2)</f>
        <v>#DIV/0!</v>
      </c>
      <c r="H667" s="19">
        <f>ROUND(H664/H665,2)</f>
        <v>13782.14</v>
      </c>
      <c r="I667" s="19">
        <f>ROUND(I664/I665,2)</f>
        <v>13591.27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-19.78</v>
      </c>
      <c r="I670" s="19">
        <f>SUM(F670:H670)</f>
        <v>-19.78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13503.93</v>
      </c>
      <c r="G672" s="19" t="e">
        <f>ROUND((G664+G669)/(G665+G670),2)</f>
        <v>#DIV/0!</v>
      </c>
      <c r="H672" s="19">
        <f>ROUND((H664+H669)/(H665+H670),2)</f>
        <v>14092.53</v>
      </c>
      <c r="I672" s="19">
        <f>ROUND((I664+I669)/(I665+I670),2)</f>
        <v>13685.91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3" sqref="C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Windham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11625526.379999999</v>
      </c>
      <c r="C9" s="229">
        <f>'DOE25'!G197+'DOE25'!G215+'DOE25'!G233+'DOE25'!G276+'DOE25'!G295+'DOE25'!G314</f>
        <v>5171732.7200000007</v>
      </c>
    </row>
    <row r="10" spans="1:3" x14ac:dyDescent="0.2">
      <c r="A10" t="s">
        <v>778</v>
      </c>
      <c r="B10" s="240">
        <f>10468246.99+20830.38+273475.86+20854.5+35836.2+0.05</f>
        <v>10819243.98</v>
      </c>
      <c r="C10" s="240">
        <f>(B10/$B$9)*$C$9</f>
        <v>4813049.8583952328</v>
      </c>
    </row>
    <row r="11" spans="1:3" x14ac:dyDescent="0.2">
      <c r="A11" t="s">
        <v>779</v>
      </c>
      <c r="B11" s="240">
        <f>293918.95+965.81+2507.32</f>
        <v>297392.08</v>
      </c>
      <c r="C11" s="240">
        <f>(B11/$B$9)*$C$9</f>
        <v>132297.8676863024</v>
      </c>
    </row>
    <row r="12" spans="1:3" x14ac:dyDescent="0.2">
      <c r="A12" t="s">
        <v>780</v>
      </c>
      <c r="B12" s="240">
        <v>508890.32</v>
      </c>
      <c r="C12" s="240">
        <f>(B12/$B$9)*$C$9</f>
        <v>226384.99391846644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11625526.380000001</v>
      </c>
      <c r="C13" s="231">
        <f>SUM(C10:C12)</f>
        <v>5171732.7200000016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4401585.9000000004</v>
      </c>
      <c r="C18" s="229">
        <f>'DOE25'!G198+'DOE25'!G216+'DOE25'!G234+'DOE25'!G277+'DOE25'!G296+'DOE25'!G315</f>
        <v>2004515.51</v>
      </c>
    </row>
    <row r="19" spans="1:3" x14ac:dyDescent="0.2">
      <c r="A19" t="s">
        <v>778</v>
      </c>
      <c r="B19" s="240">
        <f>2111145.59+2322.95+51166.6</f>
        <v>2164635.14</v>
      </c>
      <c r="C19" s="240">
        <f>(B19/$B$18)*$C$18</f>
        <v>985791.21484849846</v>
      </c>
    </row>
    <row r="20" spans="1:3" x14ac:dyDescent="0.2">
      <c r="A20" t="s">
        <v>779</v>
      </c>
      <c r="B20" s="240">
        <f>1690188.76+2564.73+12985.82+1022.06</f>
        <v>1706761.37</v>
      </c>
      <c r="C20" s="240">
        <f>(B20/$B$18)*$C$18</f>
        <v>777272.03688876063</v>
      </c>
    </row>
    <row r="21" spans="1:3" x14ac:dyDescent="0.2">
      <c r="A21" t="s">
        <v>780</v>
      </c>
      <c r="B21" s="240">
        <v>530189.39</v>
      </c>
      <c r="C21" s="240">
        <f>(B21/$B$18)*$C$18</f>
        <v>241452.25826274091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4401585.9000000004</v>
      </c>
      <c r="C22" s="231">
        <f>SUM(C19:C21)</f>
        <v>2004515.51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556678.16</v>
      </c>
      <c r="C36" s="235">
        <f>'DOE25'!G200+'DOE25'!G218+'DOE25'!G236+'DOE25'!G279+'DOE25'!G298+'DOE25'!G317</f>
        <v>219409.06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556678.16</v>
      </c>
      <c r="C39" s="240">
        <v>219409.06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556678.16</v>
      </c>
      <c r="C40" s="231">
        <f>SUM(C37:C39)</f>
        <v>219409.06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horizontalDpi="4294967295" verticalDpi="4294967295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Windham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25884883.790000003</v>
      </c>
      <c r="D5" s="20">
        <f>SUM('DOE25'!L197:L200)+SUM('DOE25'!L215:L218)+SUM('DOE25'!L233:L236)-F5-G5</f>
        <v>25606621.890000001</v>
      </c>
      <c r="E5" s="243"/>
      <c r="F5" s="255">
        <f>SUM('DOE25'!J197:J200)+SUM('DOE25'!J215:J218)+SUM('DOE25'!J233:J236)</f>
        <v>148627.47999999998</v>
      </c>
      <c r="G5" s="53">
        <f>SUM('DOE25'!K197:K200)+SUM('DOE25'!K215:K218)+SUM('DOE25'!K233:K236)</f>
        <v>129634.42000000001</v>
      </c>
      <c r="H5" s="259"/>
    </row>
    <row r="6" spans="1:9" x14ac:dyDescent="0.2">
      <c r="A6" s="32">
        <v>2100</v>
      </c>
      <c r="B6" t="s">
        <v>800</v>
      </c>
      <c r="C6" s="245">
        <f t="shared" si="0"/>
        <v>3741435.4200000009</v>
      </c>
      <c r="D6" s="20">
        <f>'DOE25'!L202+'DOE25'!L220+'DOE25'!L238-F6-G6</f>
        <v>3711876.4000000008</v>
      </c>
      <c r="E6" s="243"/>
      <c r="F6" s="255">
        <f>'DOE25'!J202+'DOE25'!J220+'DOE25'!J238</f>
        <v>25472.82</v>
      </c>
      <c r="G6" s="53">
        <f>'DOE25'!K202+'DOE25'!K220+'DOE25'!K238</f>
        <v>4086.2</v>
      </c>
      <c r="H6" s="259"/>
    </row>
    <row r="7" spans="1:9" x14ac:dyDescent="0.2">
      <c r="A7" s="32">
        <v>2200</v>
      </c>
      <c r="B7" t="s">
        <v>833</v>
      </c>
      <c r="C7" s="245">
        <f t="shared" si="0"/>
        <v>2907503.62</v>
      </c>
      <c r="D7" s="20">
        <f>'DOE25'!L203+'DOE25'!L221+'DOE25'!L239-F7-G7</f>
        <v>2006087.2000000002</v>
      </c>
      <c r="E7" s="243"/>
      <c r="F7" s="255">
        <f>'DOE25'!J203+'DOE25'!J221+'DOE25'!J239</f>
        <v>901416.41999999993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1479151.1400000001</v>
      </c>
      <c r="D8" s="243"/>
      <c r="E8" s="20">
        <f>'DOE25'!L204+'DOE25'!L222+'DOE25'!L240-F8-G8-D9-D11</f>
        <v>1431870.4000000001</v>
      </c>
      <c r="F8" s="255">
        <f>'DOE25'!J204+'DOE25'!J222+'DOE25'!J240</f>
        <v>5802.8899999999994</v>
      </c>
      <c r="G8" s="53">
        <f>'DOE25'!K204+'DOE25'!K222+'DOE25'!K240</f>
        <v>41477.85</v>
      </c>
      <c r="H8" s="259"/>
    </row>
    <row r="9" spans="1:9" x14ac:dyDescent="0.2">
      <c r="A9" s="32">
        <v>2310</v>
      </c>
      <c r="B9" t="s">
        <v>817</v>
      </c>
      <c r="C9" s="245">
        <f t="shared" si="0"/>
        <v>35850.99</v>
      </c>
      <c r="D9" s="244">
        <v>35850.99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27350</v>
      </c>
      <c r="D10" s="243"/>
      <c r="E10" s="244">
        <v>27350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416835.94999999995</v>
      </c>
      <c r="D11" s="244">
        <f>178229.77+80082.93+158523.25</f>
        <v>416835.94999999995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1673038.4000000001</v>
      </c>
      <c r="D12" s="20">
        <f>'DOE25'!L205+'DOE25'!L223+'DOE25'!L241-F12-G12</f>
        <v>1594312.2500000002</v>
      </c>
      <c r="E12" s="243"/>
      <c r="F12" s="255">
        <f>'DOE25'!J205+'DOE25'!J223+'DOE25'!J241</f>
        <v>42406.990000000005</v>
      </c>
      <c r="G12" s="53">
        <f>'DOE25'!K205+'DOE25'!K223+'DOE25'!K241</f>
        <v>36319.160000000003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832286.8600000001</v>
      </c>
      <c r="D13" s="243"/>
      <c r="E13" s="20">
        <f>'DOE25'!L206+'DOE25'!L224+'DOE25'!L242-F13-G13</f>
        <v>828905.1100000001</v>
      </c>
      <c r="F13" s="255">
        <f>'DOE25'!J206+'DOE25'!J224+'DOE25'!J242</f>
        <v>0</v>
      </c>
      <c r="G13" s="53">
        <f>'DOE25'!K206+'DOE25'!K224+'DOE25'!K242</f>
        <v>3381.75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3525432.3200000003</v>
      </c>
      <c r="D14" s="20">
        <f>'DOE25'!L207+'DOE25'!L225+'DOE25'!L243-F14-G14</f>
        <v>3369767.5400000005</v>
      </c>
      <c r="E14" s="243"/>
      <c r="F14" s="255">
        <f>'DOE25'!J207+'DOE25'!J225+'DOE25'!J243</f>
        <v>155664.78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2503289.8200000003</v>
      </c>
      <c r="D15" s="20">
        <f>'DOE25'!L208+'DOE25'!L226+'DOE25'!L244-F15-G15</f>
        <v>2503289.8200000003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139543.52000000002</v>
      </c>
      <c r="D16" s="243"/>
      <c r="E16" s="20">
        <f>'DOE25'!L209+'DOE25'!L227+'DOE25'!L245-F16-G16</f>
        <v>137150.52000000002</v>
      </c>
      <c r="F16" s="255">
        <f>'DOE25'!J209+'DOE25'!J227+'DOE25'!J245</f>
        <v>0</v>
      </c>
      <c r="G16" s="53">
        <f>'DOE25'!K209+'DOE25'!K227+'DOE25'!K245</f>
        <v>2393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374350.05</v>
      </c>
      <c r="D22" s="243"/>
      <c r="E22" s="243"/>
      <c r="F22" s="255">
        <f>'DOE25'!L255+'DOE25'!L336</f>
        <v>374350.05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2629868.75</v>
      </c>
      <c r="D25" s="243"/>
      <c r="E25" s="243"/>
      <c r="F25" s="258"/>
      <c r="G25" s="256"/>
      <c r="H25" s="257">
        <f>'DOE25'!L260+'DOE25'!L261+'DOE25'!L341+'DOE25'!L342</f>
        <v>2629868.75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472346.65000000014</v>
      </c>
      <c r="D29" s="20">
        <f>'DOE25'!L358+'DOE25'!L359+'DOE25'!L360-'DOE25'!I367-F29-G29</f>
        <v>457206.38000000012</v>
      </c>
      <c r="E29" s="243"/>
      <c r="F29" s="255">
        <f>'DOE25'!J358+'DOE25'!J359+'DOE25'!J360</f>
        <v>13705.76</v>
      </c>
      <c r="G29" s="53">
        <f>'DOE25'!K358+'DOE25'!K359+'DOE25'!K360</f>
        <v>1434.51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853366.16999999993</v>
      </c>
      <c r="D31" s="20">
        <f>'DOE25'!L290+'DOE25'!L309+'DOE25'!L328+'DOE25'!L333+'DOE25'!L334+'DOE25'!L335-F31-G31</f>
        <v>779811.99999999988</v>
      </c>
      <c r="E31" s="243"/>
      <c r="F31" s="255">
        <f>'DOE25'!J290+'DOE25'!J309+'DOE25'!J328+'DOE25'!J333+'DOE25'!J334+'DOE25'!J335</f>
        <v>19653.93</v>
      </c>
      <c r="G31" s="53">
        <f>'DOE25'!K290+'DOE25'!K309+'DOE25'!K328+'DOE25'!K333+'DOE25'!K334+'DOE25'!K335</f>
        <v>53900.24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40481660.420000002</v>
      </c>
      <c r="E33" s="246">
        <f>SUM(E5:E31)</f>
        <v>2425276.0300000003</v>
      </c>
      <c r="F33" s="246">
        <f>SUM(F5:F31)</f>
        <v>1687101.1199999999</v>
      </c>
      <c r="G33" s="246">
        <f>SUM(G5:G31)</f>
        <v>272627.13000000006</v>
      </c>
      <c r="H33" s="246">
        <f>SUM(H5:H31)</f>
        <v>2629868.75</v>
      </c>
    </row>
    <row r="35" spans="2:8" ht="12" thickBot="1" x14ac:dyDescent="0.25">
      <c r="B35" s="253" t="s">
        <v>846</v>
      </c>
      <c r="D35" s="254">
        <f>E33</f>
        <v>2425276.0300000003</v>
      </c>
      <c r="E35" s="249"/>
    </row>
    <row r="36" spans="2:8" ht="12" thickTop="1" x14ac:dyDescent="0.2">
      <c r="B36" t="s">
        <v>814</v>
      </c>
      <c r="D36" s="20">
        <f>D33</f>
        <v>40481660.420000002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5521551.6100000003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2189911.8199999998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218578.53</v>
      </c>
      <c r="E11" s="95">
        <f>'DOE25'!H12</f>
        <v>75576.03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37665.769999999997</v>
      </c>
      <c r="D12" s="95">
        <f>'DOE25'!G13</f>
        <v>9213.9500000000007</v>
      </c>
      <c r="E12" s="95">
        <f>'DOE25'!H13</f>
        <v>165641.20000000001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3743.8</v>
      </c>
      <c r="D13" s="95">
        <f>'DOE25'!G14</f>
        <v>0</v>
      </c>
      <c r="E13" s="95">
        <f>'DOE25'!H14</f>
        <v>650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34169.71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12054.12</v>
      </c>
      <c r="D16" s="95">
        <f>'DOE25'!G17</f>
        <v>0</v>
      </c>
      <c r="E16" s="95">
        <f>'DOE25'!H17</f>
        <v>244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5575015.2999999998</v>
      </c>
      <c r="D18" s="41">
        <f>SUM(D8:D17)</f>
        <v>261962.19</v>
      </c>
      <c r="E18" s="41">
        <f>SUM(E8:E17)</f>
        <v>242111.23</v>
      </c>
      <c r="F18" s="41">
        <f>SUM(F8:F17)</f>
        <v>0</v>
      </c>
      <c r="G18" s="41">
        <f>SUM(G8:G17)</f>
        <v>2189911.8199999998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294154.56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33665.19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245360.78</v>
      </c>
      <c r="D23" s="95">
        <f>'DOE25'!G24</f>
        <v>0</v>
      </c>
      <c r="E23" s="95">
        <f>'DOE25'!H24</f>
        <v>803.47</v>
      </c>
      <c r="F23" s="95">
        <f>'DOE25'!I24</f>
        <v>891390.39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83827.67</v>
      </c>
      <c r="D27" s="95">
        <f>'DOE25'!G28</f>
        <v>0</v>
      </c>
      <c r="E27" s="95">
        <f>'DOE25'!H28</f>
        <v>3850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7650</v>
      </c>
      <c r="D29" s="95">
        <f>'DOE25'!G30</f>
        <v>37687.32</v>
      </c>
      <c r="E29" s="95">
        <f>'DOE25'!H30</f>
        <v>62189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664658.20000000007</v>
      </c>
      <c r="D31" s="41">
        <f>SUM(D21:D30)</f>
        <v>37687.32</v>
      </c>
      <c r="E31" s="41">
        <f>SUM(E21:E30)</f>
        <v>66842.47</v>
      </c>
      <c r="F31" s="41">
        <f>SUM(F21:F30)</f>
        <v>891390.39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34169.71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190105.16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-891390.39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334325</v>
      </c>
      <c r="D47" s="95">
        <f>'DOE25'!G48</f>
        <v>0</v>
      </c>
      <c r="E47" s="95">
        <f>'DOE25'!H48</f>
        <v>175268.76</v>
      </c>
      <c r="F47" s="95">
        <f>'DOE25'!I48</f>
        <v>0</v>
      </c>
      <c r="G47" s="95">
        <f>'DOE25'!J48</f>
        <v>2189911.8199999998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152822.09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4323210.01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4910357.0999999996</v>
      </c>
      <c r="D50" s="41">
        <f>SUM(D34:D49)</f>
        <v>224274.87</v>
      </c>
      <c r="E50" s="41">
        <f>SUM(E34:E49)</f>
        <v>175268.76</v>
      </c>
      <c r="F50" s="41">
        <f>SUM(F34:F49)</f>
        <v>-891390.39</v>
      </c>
      <c r="G50" s="41">
        <f>SUM(G34:G49)</f>
        <v>2189911.8199999998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5575015.2999999998</v>
      </c>
      <c r="D51" s="41">
        <f>D50+D31</f>
        <v>261962.19</v>
      </c>
      <c r="E51" s="41">
        <f>E50+E31</f>
        <v>242111.23</v>
      </c>
      <c r="F51" s="41">
        <f>F50+F31</f>
        <v>0</v>
      </c>
      <c r="G51" s="41">
        <f>G50+G31</f>
        <v>2189911.8199999998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34914920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67600</v>
      </c>
      <c r="D57" s="24" t="s">
        <v>288</v>
      </c>
      <c r="E57" s="95">
        <f>'DOE25'!H79</f>
        <v>97361.81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11451.87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116.91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718286.29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344862.27</v>
      </c>
      <c r="D61" s="95">
        <f>SUM('DOE25'!G98:G110)</f>
        <v>10707.03</v>
      </c>
      <c r="E61" s="95">
        <f>SUM('DOE25'!H98:H110)</f>
        <v>193495.04000000001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423914.14</v>
      </c>
      <c r="D62" s="130">
        <f>SUM(D57:D61)</f>
        <v>728993.32000000007</v>
      </c>
      <c r="E62" s="130">
        <f>SUM(E57:E61)</f>
        <v>290856.84999999998</v>
      </c>
      <c r="F62" s="130">
        <f>SUM(F57:F61)</f>
        <v>0</v>
      </c>
      <c r="G62" s="130">
        <f>SUM(G57:G61)</f>
        <v>116.91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35338834.140000001</v>
      </c>
      <c r="D63" s="22">
        <f>D56+D62</f>
        <v>728993.32000000007</v>
      </c>
      <c r="E63" s="22">
        <f>E56+E62</f>
        <v>290856.84999999998</v>
      </c>
      <c r="F63" s="22">
        <f>F56+F62</f>
        <v>0</v>
      </c>
      <c r="G63" s="22">
        <f>G56+G62</f>
        <v>116.91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5757022.3799999999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5326111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2829060.48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13912193.859999999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723425.96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291366.08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8154.2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10145.370000000001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1022946.24</v>
      </c>
      <c r="D78" s="130">
        <f>SUM(D72:D77)</f>
        <v>10145.370000000001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14935140.1</v>
      </c>
      <c r="D81" s="130">
        <f>SUM(D79:D80)+D78+D70</f>
        <v>10145.370000000001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297405.76</v>
      </c>
      <c r="D88" s="95">
        <f>SUM('DOE25'!G153:G161)</f>
        <v>149766.95000000001</v>
      </c>
      <c r="E88" s="95">
        <f>SUM('DOE25'!H153:H161)</f>
        <v>628338.60000000009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297405.76</v>
      </c>
      <c r="D91" s="131">
        <f>SUM(D85:D90)</f>
        <v>149766.95000000001</v>
      </c>
      <c r="E91" s="131">
        <f>SUM(E85:E90)</f>
        <v>628338.60000000009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1485125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0.48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0.48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1485125</v>
      </c>
    </row>
    <row r="104" spans="1:7" ht="12.75" thickTop="1" thickBot="1" x14ac:dyDescent="0.25">
      <c r="A104" s="33" t="s">
        <v>764</v>
      </c>
      <c r="C104" s="86">
        <f>C63+C81+C91+C103</f>
        <v>50571380.479999997</v>
      </c>
      <c r="D104" s="86">
        <f>D63+D81+D91+D103</f>
        <v>888905.64000000013</v>
      </c>
      <c r="E104" s="86">
        <f>E63+E81+E91+E103</f>
        <v>919195.45000000007</v>
      </c>
      <c r="F104" s="86">
        <f>F63+F81+F91+F103</f>
        <v>0</v>
      </c>
      <c r="G104" s="86">
        <f>G63+G81+G103</f>
        <v>1485241.91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17393242.219999999</v>
      </c>
      <c r="D109" s="24" t="s">
        <v>288</v>
      </c>
      <c r="E109" s="95">
        <f>('DOE25'!L276)+('DOE25'!L295)+('DOE25'!L314)</f>
        <v>50920.38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7433712.6000000015</v>
      </c>
      <c r="D110" s="24" t="s">
        <v>288</v>
      </c>
      <c r="E110" s="95">
        <f>('DOE25'!L277)+('DOE25'!L296)+('DOE25'!L315)</f>
        <v>537856.89999999991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106573.55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951355.41999999993</v>
      </c>
      <c r="D112" s="24" t="s">
        <v>288</v>
      </c>
      <c r="E112" s="95">
        <f>+('DOE25'!L279)+('DOE25'!L298)+('DOE25'!L317)</f>
        <v>116032.41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25884883.789999999</v>
      </c>
      <c r="D115" s="86">
        <f>SUM(D109:D114)</f>
        <v>0</v>
      </c>
      <c r="E115" s="86">
        <f>SUM(E109:E114)</f>
        <v>704809.69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3741435.4200000009</v>
      </c>
      <c r="D118" s="24" t="s">
        <v>288</v>
      </c>
      <c r="E118" s="95">
        <f>+('DOE25'!L281)+('DOE25'!L300)+('DOE25'!L319)</f>
        <v>51568.369999999995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2907503.62</v>
      </c>
      <c r="D119" s="24" t="s">
        <v>288</v>
      </c>
      <c r="E119" s="95">
        <f>+('DOE25'!L282)+('DOE25'!L301)+('DOE25'!L320)</f>
        <v>82270.86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1931838.08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1673038.4000000001</v>
      </c>
      <c r="D121" s="24" t="s">
        <v>288</v>
      </c>
      <c r="E121" s="95">
        <f>+('DOE25'!L284)+('DOE25'!L303)+('DOE25'!L322)</f>
        <v>6217.6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832286.8600000001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3525432.3200000003</v>
      </c>
      <c r="D123" s="24" t="s">
        <v>288</v>
      </c>
      <c r="E123" s="95">
        <f>+('DOE25'!L286)+('DOE25'!L305)+('DOE25'!L324)</f>
        <v>8014.45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2503289.8200000003</v>
      </c>
      <c r="D124" s="24" t="s">
        <v>288</v>
      </c>
      <c r="E124" s="95">
        <f>+('DOE25'!L287)+('DOE25'!L306)+('DOE25'!L325)</f>
        <v>485.2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139543.52000000002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861154.74000000011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17254368.040000003</v>
      </c>
      <c r="D128" s="86">
        <f>SUM(D118:D127)</f>
        <v>861154.74000000011</v>
      </c>
      <c r="E128" s="86">
        <f>SUM(E118:E127)</f>
        <v>148556.48000000001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374350.05</v>
      </c>
      <c r="D130" s="24" t="s">
        <v>288</v>
      </c>
      <c r="E130" s="129">
        <f>'DOE25'!L336</f>
        <v>0</v>
      </c>
      <c r="F130" s="129">
        <f>SUM('DOE25'!L374:'DOE25'!L380)</f>
        <v>891390.39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2075000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554868.75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1500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7.0600000000000005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1485234.85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-116.91000000014901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4489343.8</v>
      </c>
      <c r="D144" s="141">
        <f>SUM(D130:D143)</f>
        <v>0</v>
      </c>
      <c r="E144" s="141">
        <f>SUM(E130:E143)</f>
        <v>0</v>
      </c>
      <c r="F144" s="141">
        <f>SUM(F130:F143)</f>
        <v>891390.39</v>
      </c>
      <c r="G144" s="141">
        <f>SUM(G130:G143)</f>
        <v>1500</v>
      </c>
    </row>
    <row r="145" spans="1:9" ht="12.75" thickTop="1" thickBot="1" x14ac:dyDescent="0.25">
      <c r="A145" s="33" t="s">
        <v>244</v>
      </c>
      <c r="C145" s="86">
        <f>(C115+C128+C144)</f>
        <v>47628595.629999995</v>
      </c>
      <c r="D145" s="86">
        <f>(D115+D128+D144)</f>
        <v>861154.74000000011</v>
      </c>
      <c r="E145" s="86">
        <f>(E115+E128+E144)</f>
        <v>853366.16999999993</v>
      </c>
      <c r="F145" s="86">
        <f>(F115+F128+F144)</f>
        <v>891390.39</v>
      </c>
      <c r="G145" s="86">
        <f>(G115+G128+G144)</f>
        <v>1500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11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Refinance 01/15/15</v>
      </c>
      <c r="C152" s="152" t="str">
        <f>'DOE25'!G491</f>
        <v>07/2008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07/2025</v>
      </c>
      <c r="C153" s="152" t="str">
        <f>'DOE25'!G492</f>
        <v>08/2018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19305000</v>
      </c>
      <c r="C154" s="137">
        <f>'DOE25'!G493</f>
        <v>4000000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</v>
      </c>
      <c r="C155" s="137">
        <f>'DOE25'!G494</f>
        <v>3.69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16745000</v>
      </c>
      <c r="C156" s="137">
        <f>'DOE25'!G495</f>
        <v>1115000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17860000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1700000</v>
      </c>
      <c r="C158" s="137">
        <f>'DOE25'!G497</f>
        <v>375000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2075000</v>
      </c>
    </row>
    <row r="159" spans="1:9" x14ac:dyDescent="0.2">
      <c r="A159" s="22" t="s">
        <v>35</v>
      </c>
      <c r="B159" s="137">
        <f>'DOE25'!F498</f>
        <v>15045000</v>
      </c>
      <c r="C159" s="137">
        <f>'DOE25'!G498</f>
        <v>740000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15785000</v>
      </c>
    </row>
    <row r="160" spans="1:9" x14ac:dyDescent="0.2">
      <c r="A160" s="22" t="s">
        <v>36</v>
      </c>
      <c r="B160" s="137">
        <f>'DOE25'!F499</f>
        <v>2548087.5</v>
      </c>
      <c r="C160" s="137">
        <f>'DOE25'!G499</f>
        <v>38850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2586937.5</v>
      </c>
    </row>
    <row r="161" spans="1:7" x14ac:dyDescent="0.2">
      <c r="A161" s="22" t="s">
        <v>37</v>
      </c>
      <c r="B161" s="137">
        <f>'DOE25'!F500</f>
        <v>17593087.5</v>
      </c>
      <c r="C161" s="137">
        <f>'DOE25'!G500</f>
        <v>778850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18371937.5</v>
      </c>
    </row>
    <row r="162" spans="1:7" x14ac:dyDescent="0.2">
      <c r="A162" s="22" t="s">
        <v>38</v>
      </c>
      <c r="B162" s="137">
        <f>'DOE25'!F501</f>
        <v>1445000</v>
      </c>
      <c r="C162" s="137">
        <f>'DOE25'!G501</f>
        <v>370000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1815000</v>
      </c>
    </row>
    <row r="163" spans="1:7" x14ac:dyDescent="0.2">
      <c r="A163" s="22" t="s">
        <v>39</v>
      </c>
      <c r="B163" s="137">
        <f>'DOE25'!F502</f>
        <v>478337.5</v>
      </c>
      <c r="C163" s="137">
        <f>'DOE25'!G502</f>
        <v>29137.5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507475</v>
      </c>
    </row>
    <row r="164" spans="1:7" x14ac:dyDescent="0.2">
      <c r="A164" s="22" t="s">
        <v>246</v>
      </c>
      <c r="B164" s="137">
        <f>'DOE25'!F503</f>
        <v>1923337.5</v>
      </c>
      <c r="C164" s="137">
        <f>'DOE25'!G503</f>
        <v>399137.5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2322475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Windham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13504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14093</v>
      </c>
    </row>
    <row r="7" spans="1:4" x14ac:dyDescent="0.2">
      <c r="B7" t="s">
        <v>704</v>
      </c>
      <c r="C7" s="179">
        <f>IF('DOE25'!I665+'DOE25'!I670=0,0,ROUND('DOE25'!I672,0))</f>
        <v>13686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17444163</v>
      </c>
      <c r="D10" s="182">
        <f>ROUND((C10/$C$28)*100,1)</f>
        <v>39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7971570</v>
      </c>
      <c r="D11" s="182">
        <f>ROUND((C11/$C$28)*100,1)</f>
        <v>17.8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106574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1067388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3793004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2989774</v>
      </c>
      <c r="D16" s="182">
        <f t="shared" si="0"/>
        <v>6.7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2071382</v>
      </c>
      <c r="D17" s="182">
        <f t="shared" si="0"/>
        <v>4.5999999999999996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1679256</v>
      </c>
      <c r="D18" s="182">
        <f t="shared" si="0"/>
        <v>3.8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832287</v>
      </c>
      <c r="D19" s="182">
        <f t="shared" si="0"/>
        <v>1.9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3533447</v>
      </c>
      <c r="D20" s="182">
        <f t="shared" si="0"/>
        <v>7.9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2503775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554869</v>
      </c>
      <c r="D25" s="182">
        <f t="shared" si="0"/>
        <v>1.2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132161.67999999993</v>
      </c>
      <c r="D27" s="182">
        <f t="shared" si="0"/>
        <v>0.3</v>
      </c>
    </row>
    <row r="28" spans="1:4" x14ac:dyDescent="0.2">
      <c r="B28" s="187" t="s">
        <v>722</v>
      </c>
      <c r="C28" s="180">
        <f>SUM(C10:C27)</f>
        <v>44679650.68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1265740</v>
      </c>
    </row>
    <row r="30" spans="1:4" x14ac:dyDescent="0.2">
      <c r="B30" s="187" t="s">
        <v>728</v>
      </c>
      <c r="C30" s="180">
        <f>SUM(C28:C29)</f>
        <v>45945390.68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2075000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34914920</v>
      </c>
      <c r="D35" s="182">
        <f t="shared" ref="D35:D40" si="1">ROUND((C35/$C$41)*100,1)</f>
        <v>67.599999999999994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714887.89999999851</v>
      </c>
      <c r="D36" s="182">
        <f t="shared" si="1"/>
        <v>1.4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11083133</v>
      </c>
      <c r="D37" s="182">
        <f t="shared" si="1"/>
        <v>21.5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3862152</v>
      </c>
      <c r="D38" s="182">
        <f t="shared" si="1"/>
        <v>7.5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1075511</v>
      </c>
      <c r="D39" s="182">
        <f t="shared" si="1"/>
        <v>2.1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51650603.899999999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horizontalDpi="4294967295" verticalDpi="4294967295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31" sqref="C31:M3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Windham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3</v>
      </c>
      <c r="B4" s="219">
        <v>24</v>
      </c>
      <c r="C4" s="286" t="s">
        <v>916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4</v>
      </c>
      <c r="B5" s="219">
        <v>18</v>
      </c>
      <c r="C5" s="286" t="s">
        <v>917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5</v>
      </c>
      <c r="B6" s="219">
        <v>11</v>
      </c>
      <c r="C6" s="286" t="s">
        <v>918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horizontalDpi="4294967295" verticalDpi="4294967295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2017-12-05T15:52:52Z</cp:lastPrinted>
  <dcterms:created xsi:type="dcterms:W3CDTF">1997-12-04T19:04:30Z</dcterms:created>
  <dcterms:modified xsi:type="dcterms:W3CDTF">2017-12-05T15:52:54Z</dcterms:modified>
</cp:coreProperties>
</file>