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870" yWindow="45" windowWidth="25260" windowHeight="117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83" i="1" l="1"/>
  <c r="H582" i="1"/>
  <c r="K523" i="1" l="1"/>
  <c r="J523" i="1"/>
  <c r="I523" i="1"/>
  <c r="H523" i="1"/>
  <c r="G523" i="1"/>
  <c r="F523" i="1"/>
  <c r="C10" i="12"/>
  <c r="C12" i="12"/>
  <c r="C11" i="12"/>
  <c r="C20" i="12"/>
  <c r="C21" i="12"/>
  <c r="B20" i="12"/>
  <c r="B21" i="12"/>
  <c r="C19" i="12"/>
  <c r="G533" i="1"/>
  <c r="G238" i="1"/>
  <c r="G239" i="1"/>
  <c r="G236" i="1"/>
  <c r="K245" i="1"/>
  <c r="J591" i="1" l="1"/>
  <c r="F502" i="1" l="1"/>
  <c r="B10" i="12" l="1"/>
  <c r="B12" i="12"/>
  <c r="B11" i="12"/>
  <c r="B19" i="12"/>
  <c r="J604" i="1"/>
  <c r="H236" i="1"/>
  <c r="F528" i="1"/>
  <c r="F533" i="1"/>
  <c r="H255" i="1"/>
  <c r="H238" i="1"/>
  <c r="F238" i="1"/>
  <c r="K236" i="1"/>
  <c r="J233" i="1"/>
  <c r="I233" i="1"/>
  <c r="J243" i="1"/>
  <c r="J239" i="1"/>
  <c r="I239" i="1"/>
  <c r="I238" i="1"/>
  <c r="I236" i="1"/>
  <c r="H244" i="1"/>
  <c r="H243" i="1"/>
  <c r="H240" i="1"/>
  <c r="H239" i="1"/>
  <c r="F239" i="1"/>
  <c r="F236" i="1"/>
  <c r="F110" i="1"/>
  <c r="F101" i="1"/>
  <c r="F48" i="1"/>
  <c r="F24" i="1"/>
  <c r="F29" i="1"/>
  <c r="F9" i="1"/>
  <c r="H155" i="1"/>
  <c r="K321" i="1"/>
  <c r="H159" i="1"/>
  <c r="H157" i="1"/>
  <c r="H154" i="1"/>
  <c r="H367" i="1"/>
  <c r="H360" i="1"/>
  <c r="F360" i="1"/>
  <c r="I36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E16" i="13" s="1"/>
  <c r="C16" i="13" s="1"/>
  <c r="F5" i="13"/>
  <c r="G5" i="13"/>
  <c r="L197" i="1"/>
  <c r="L198" i="1"/>
  <c r="L199" i="1"/>
  <c r="L200" i="1"/>
  <c r="L215" i="1"/>
  <c r="L216" i="1"/>
  <c r="L217" i="1"/>
  <c r="L218" i="1"/>
  <c r="L233" i="1"/>
  <c r="C10" i="10" s="1"/>
  <c r="L234" i="1"/>
  <c r="C110" i="2" s="1"/>
  <c r="L235" i="1"/>
  <c r="L236" i="1"/>
  <c r="C13" i="10" s="1"/>
  <c r="F6" i="13"/>
  <c r="G6" i="13"/>
  <c r="L202" i="1"/>
  <c r="L220" i="1"/>
  <c r="L238" i="1"/>
  <c r="C15" i="10" s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L225" i="1"/>
  <c r="L243" i="1"/>
  <c r="C20" i="10" s="1"/>
  <c r="F15" i="13"/>
  <c r="G15" i="13"/>
  <c r="L208" i="1"/>
  <c r="L226" i="1"/>
  <c r="L244" i="1"/>
  <c r="F17" i="13"/>
  <c r="G17" i="13"/>
  <c r="L251" i="1"/>
  <c r="D17" i="13" s="1"/>
  <c r="C17" i="13" s="1"/>
  <c r="F18" i="13"/>
  <c r="G18" i="13"/>
  <c r="L252" i="1"/>
  <c r="F19" i="13"/>
  <c r="G19" i="13"/>
  <c r="L253" i="1"/>
  <c r="F29" i="13"/>
  <c r="G29" i="13"/>
  <c r="L358" i="1"/>
  <c r="L359" i="1"/>
  <c r="L360" i="1"/>
  <c r="F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L319" i="1"/>
  <c r="L320" i="1"/>
  <c r="E119" i="2" s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8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G661" i="1"/>
  <c r="H661" i="1"/>
  <c r="F662" i="1"/>
  <c r="G662" i="1"/>
  <c r="H662" i="1"/>
  <c r="I662" i="1" s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E112" i="2"/>
  <c r="C113" i="2"/>
  <c r="E113" i="2"/>
  <c r="E114" i="2"/>
  <c r="D115" i="2"/>
  <c r="F115" i="2"/>
  <c r="G115" i="2"/>
  <c r="E118" i="2"/>
  <c r="C120" i="2"/>
  <c r="C121" i="2"/>
  <c r="E121" i="2"/>
  <c r="C122" i="2"/>
  <c r="E122" i="2"/>
  <c r="E123" i="2"/>
  <c r="C124" i="2"/>
  <c r="E124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G257" i="1" s="1"/>
  <c r="G271" i="1" s="1"/>
  <c r="H247" i="1"/>
  <c r="I247" i="1"/>
  <c r="I257" i="1" s="1"/>
  <c r="I271" i="1" s="1"/>
  <c r="J247" i="1"/>
  <c r="K247" i="1"/>
  <c r="K257" i="1" s="1"/>
  <c r="K271" i="1" s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J641" i="1" s="1"/>
  <c r="F452" i="1"/>
  <c r="G452" i="1"/>
  <c r="H452" i="1"/>
  <c r="I452" i="1"/>
  <c r="F460" i="1"/>
  <c r="G460" i="1"/>
  <c r="G461" i="1" s="1"/>
  <c r="H640" i="1" s="1"/>
  <c r="H460" i="1"/>
  <c r="I460" i="1"/>
  <c r="F461" i="1"/>
  <c r="H461" i="1"/>
  <c r="I461" i="1"/>
  <c r="F470" i="1"/>
  <c r="G470" i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J634" i="1" s="1"/>
  <c r="H634" i="1"/>
  <c r="H635" i="1"/>
  <c r="H636" i="1"/>
  <c r="H637" i="1"/>
  <c r="H638" i="1"/>
  <c r="G639" i="1"/>
  <c r="H639" i="1"/>
  <c r="H641" i="1"/>
  <c r="H642" i="1"/>
  <c r="G643" i="1"/>
  <c r="H643" i="1"/>
  <c r="G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G164" i="2"/>
  <c r="C18" i="2"/>
  <c r="C26" i="10"/>
  <c r="L351" i="1"/>
  <c r="L290" i="1"/>
  <c r="F660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E8" i="13"/>
  <c r="C8" i="13" s="1"/>
  <c r="C91" i="2"/>
  <c r="F78" i="2"/>
  <c r="F81" i="2" s="1"/>
  <c r="C78" i="2"/>
  <c r="D50" i="2"/>
  <c r="G157" i="2"/>
  <c r="F18" i="2"/>
  <c r="G161" i="2"/>
  <c r="G156" i="2"/>
  <c r="E103" i="2"/>
  <c r="D91" i="2"/>
  <c r="E62" i="2"/>
  <c r="E63" i="2" s="1"/>
  <c r="E31" i="2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I476" i="1"/>
  <c r="H625" i="1" s="1"/>
  <c r="J625" i="1" s="1"/>
  <c r="G338" i="1"/>
  <c r="G352" i="1" s="1"/>
  <c r="F169" i="1"/>
  <c r="J140" i="1"/>
  <c r="F571" i="1"/>
  <c r="I552" i="1"/>
  <c r="K549" i="1"/>
  <c r="K550" i="1"/>
  <c r="G22" i="2"/>
  <c r="K545" i="1"/>
  <c r="J552" i="1"/>
  <c r="H552" i="1"/>
  <c r="C29" i="10"/>
  <c r="H140" i="1"/>
  <c r="L393" i="1"/>
  <c r="F22" i="13"/>
  <c r="H25" i="13"/>
  <c r="C25" i="13" s="1"/>
  <c r="H571" i="1"/>
  <c r="L560" i="1"/>
  <c r="H338" i="1"/>
  <c r="H352" i="1" s="1"/>
  <c r="G192" i="1"/>
  <c r="H192" i="1"/>
  <c r="C35" i="10"/>
  <c r="L309" i="1"/>
  <c r="J655" i="1"/>
  <c r="J645" i="1"/>
  <c r="L570" i="1"/>
  <c r="I571" i="1"/>
  <c r="I545" i="1"/>
  <c r="J636" i="1"/>
  <c r="G36" i="2"/>
  <c r="L565" i="1"/>
  <c r="G545" i="1"/>
  <c r="C22" i="13"/>
  <c r="C138" i="2"/>
  <c r="K551" i="1" l="1"/>
  <c r="K552" i="1" s="1"/>
  <c r="C17" i="10"/>
  <c r="C125" i="2"/>
  <c r="F664" i="1"/>
  <c r="F672" i="1" s="1"/>
  <c r="C4" i="10" s="1"/>
  <c r="K598" i="1"/>
  <c r="G647" i="1" s="1"/>
  <c r="J647" i="1" s="1"/>
  <c r="A13" i="12"/>
  <c r="D31" i="2"/>
  <c r="L524" i="1"/>
  <c r="L545" i="1" s="1"/>
  <c r="H545" i="1"/>
  <c r="F476" i="1"/>
  <c r="H622" i="1" s="1"/>
  <c r="H257" i="1"/>
  <c r="H271" i="1" s="1"/>
  <c r="H33" i="13"/>
  <c r="C112" i="2"/>
  <c r="D7" i="13"/>
  <c r="C7" i="13" s="1"/>
  <c r="C123" i="2"/>
  <c r="L256" i="1"/>
  <c r="C118" i="2"/>
  <c r="D6" i="13"/>
  <c r="C6" i="13" s="1"/>
  <c r="D5" i="13"/>
  <c r="C5" i="13" s="1"/>
  <c r="C109" i="2"/>
  <c r="E33" i="13"/>
  <c r="D35" i="13" s="1"/>
  <c r="C114" i="2"/>
  <c r="F257" i="1"/>
  <c r="F271" i="1" s="1"/>
  <c r="L247" i="1"/>
  <c r="C81" i="2"/>
  <c r="C62" i="2"/>
  <c r="C63" i="2" s="1"/>
  <c r="J622" i="1"/>
  <c r="J617" i="1"/>
  <c r="J640" i="1"/>
  <c r="I446" i="1"/>
  <c r="G642" i="1" s="1"/>
  <c r="L401" i="1"/>
  <c r="C139" i="2" s="1"/>
  <c r="J644" i="1"/>
  <c r="J476" i="1"/>
  <c r="H626" i="1" s="1"/>
  <c r="E115" i="2"/>
  <c r="C11" i="10"/>
  <c r="C16" i="10"/>
  <c r="F338" i="1"/>
  <c r="F352" i="1" s="1"/>
  <c r="L328" i="1"/>
  <c r="E120" i="2"/>
  <c r="E128" i="2" s="1"/>
  <c r="K338" i="1"/>
  <c r="K352" i="1" s="1"/>
  <c r="J624" i="1"/>
  <c r="H52" i="1"/>
  <c r="H619" i="1" s="1"/>
  <c r="J619" i="1" s="1"/>
  <c r="G476" i="1"/>
  <c r="H623" i="1" s="1"/>
  <c r="J623" i="1" s="1"/>
  <c r="D29" i="13"/>
  <c r="C29" i="13" s="1"/>
  <c r="I661" i="1"/>
  <c r="D145" i="2"/>
  <c r="D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F667" i="1" l="1"/>
  <c r="C128" i="2"/>
  <c r="L257" i="1"/>
  <c r="L271" i="1" s="1"/>
  <c r="G632" i="1" s="1"/>
  <c r="J632" i="1" s="1"/>
  <c r="C115" i="2"/>
  <c r="H660" i="1"/>
  <c r="H664" i="1" s="1"/>
  <c r="H672" i="1" s="1"/>
  <c r="C6" i="10" s="1"/>
  <c r="C104" i="2"/>
  <c r="C141" i="2"/>
  <c r="C144" i="2" s="1"/>
  <c r="H646" i="1"/>
  <c r="E145" i="2"/>
  <c r="C28" i="10"/>
  <c r="D24" i="10" s="1"/>
  <c r="L338" i="1"/>
  <c r="L352" i="1" s="1"/>
  <c r="G633" i="1" s="1"/>
  <c r="J633" i="1" s="1"/>
  <c r="D31" i="13"/>
  <c r="C31" i="13" s="1"/>
  <c r="G672" i="1"/>
  <c r="C5" i="10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H667" i="1"/>
  <c r="I660" i="1"/>
  <c r="I664" i="1" s="1"/>
  <c r="I672" i="1" s="1"/>
  <c r="C7" i="10" s="1"/>
  <c r="D23" i="10"/>
  <c r="D20" i="10"/>
  <c r="D15" i="10"/>
  <c r="C30" i="10"/>
  <c r="D10" i="10"/>
  <c r="D25" i="10"/>
  <c r="D26" i="10"/>
  <c r="D16" i="10"/>
  <c r="D19" i="10"/>
  <c r="D21" i="10"/>
  <c r="D13" i="10"/>
  <c r="D11" i="10"/>
  <c r="D22" i="10"/>
  <c r="D27" i="10"/>
  <c r="D18" i="10"/>
  <c r="D17" i="10"/>
  <c r="D12" i="10"/>
  <c r="D33" i="13"/>
  <c r="D36" i="13" s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<sst xmlns="http://schemas.openxmlformats.org/spreadsheetml/2006/main" count="3957" uniqueCount="915">
  <si>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</si>
  <si>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</si>
  <si>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</si>
  <si>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</si>
  <si>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</si>
  <si>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</si>
  <si>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</si>
  <si>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</si>
  <si>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</si>
  <si>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</si>
  <si>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</si>
  <si>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</si>
  <si>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</si>
  <si>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</si>
  <si>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</si>
  <si>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</si>
  <si>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</si>
  <si>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</si>
  <si>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</si>
  <si>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</si>
  <si>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</si>
  <si>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</si>
  <si>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</si>
  <si>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</si>
  <si>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</si>
  <si>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</si>
  <si>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</si>
  <si>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</si>
  <si>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</si>
  <si>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</si>
  <si>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</si>
  <si>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</si>
  <si>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</si>
  <si>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</si>
  <si>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</si>
  <si>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</si>
  <si>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</si>
  <si>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</si>
  <si>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</si>
  <si>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</si>
  <si>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</si>
  <si>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</si>
  <si>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</si>
  <si>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</si>
  <si>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</si>
  <si>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</si>
  <si>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</si>
  <si>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</si>
  <si>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</si>
  <si>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</si>
  <si>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</si>
  <si>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</si>
  <si>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</si>
  <si>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</si>
  <si>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</si>
  <si>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</si>
  <si>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</si>
  <si>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</si>
  <si>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</si>
  <si>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</si>
  <si>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</si>
  <si>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</si>
  <si>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</si>
  <si>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</si>
  <si>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</si>
  <si>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</si>
  <si>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</si>
  <si>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</si>
  <si>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</si>
  <si>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</si>
  <si>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</si>
  <si>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</si>
  <si>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</si>
  <si>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</si>
  <si>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</si>
  <si>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</si>
  <si>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</si>
  <si>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</si>
  <si>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</si>
  <si>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</si>
  <si>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</si>
  <si>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</si>
  <si>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</si>
  <si>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</si>
  <si>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</si>
  <si>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</si>
  <si>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</si>
  <si>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</si>
  <si>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</si>
  <si>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</si>
  <si>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</si>
  <si>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</si>
  <si>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</si>
  <si>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</si>
  <si>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</si>
  <si>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</si>
  <si>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</si>
  <si>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</si>
  <si>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</si>
  <si>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</si>
  <si>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</si>
  <si>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</si>
  <si>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</si>
  <si>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</si>
  <si>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</si>
  <si>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</si>
  <si>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</si>
  <si>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</si>
  <si>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</si>
  <si>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</si>
  <si>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</si>
  <si>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</si>
  <si>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</si>
  <si>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</si>
  <si>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</si>
  <si>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</si>
  <si>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</si>
  <si>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</si>
  <si>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</si>
  <si>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</si>
  <si>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</si>
  <si>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</si>
  <si>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</si>
  <si>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</si>
  <si>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</si>
  <si>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</si>
  <si>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</si>
  <si>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</si>
  <si>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</si>
  <si>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</si>
  <si>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</si>
  <si>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</si>
  <si>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</si>
  <si>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</si>
  <si>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</si>
  <si>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</si>
  <si>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</si>
  <si>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</si>
  <si>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</si>
  <si>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</si>
  <si>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</si>
  <si>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</si>
  <si>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</si>
  <si>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</si>
  <si>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</si>
  <si>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</si>
  <si>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</si>
  <si>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</si>
  <si>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</si>
  <si>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</si>
  <si>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</si>
  <si>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</si>
  <si>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</si>
  <si>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</si>
  <si>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</si>
  <si>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</si>
  <si>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</si>
  <si>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</si>
  <si>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</si>
  <si>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</si>
  <si>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</si>
  <si>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</si>
  <si>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</si>
  <si>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</si>
  <si>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</si>
  <si>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</si>
  <si>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</si>
  <si>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</si>
  <si>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</si>
  <si>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</si>
  <si>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</si>
  <si>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</si>
  <si>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</si>
  <si>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</si>
  <si>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</si>
  <si>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</si>
  <si>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</si>
  <si>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</si>
  <si>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</si>
  <si>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</si>
  <si>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</si>
  <si>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</si>
  <si>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</si>
  <si>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</si>
  <si>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</si>
  <si>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</si>
  <si>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</si>
  <si>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</si>
  <si>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</si>
  <si>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</si>
  <si>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</si>
  <si>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</si>
  <si>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</si>
  <si>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</si>
  <si>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</si>
  <si>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</si>
  <si>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</si>
  <si>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</si>
  <si>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</si>
  <si>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</si>
  <si>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</si>
  <si>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</si>
  <si>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</si>
  <si>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</si>
  <si>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</si>
  <si>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</si>
  <si>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</si>
  <si>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</si>
  <si>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</si>
  <si>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</si>
  <si>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</si>
  <si>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</si>
  <si>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</si>
  <si>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</si>
  <si>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</si>
  <si>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</si>
  <si>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</si>
  <si>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</si>
  <si>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</si>
  <si>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</si>
  <si>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</si>
  <si>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</si>
  <si>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</si>
  <si>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</si>
  <si>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</si>
  <si>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</si>
  <si>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</si>
  <si>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</si>
  <si>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</si>
  <si>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</si>
  <si>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</si>
  <si>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</si>
  <si>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</si>
  <si>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</si>
  <si>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</si>
  <si>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</si>
  <si>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</si>
  <si>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</si>
  <si>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</si>
  <si>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</si>
  <si>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</si>
  <si>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</si>
  <si>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</si>
  <si>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</si>
  <si>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</si>
  <si>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</si>
  <si>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</si>
  <si>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</si>
  <si>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</si>
  <si>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</si>
  <si>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</si>
  <si>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</si>
  <si>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</si>
  <si>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</si>
  <si>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</si>
  <si>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</si>
  <si>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</si>
  <si>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</si>
  <si>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</si>
  <si>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</si>
  <si>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</si>
  <si>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</si>
  <si>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</si>
  <si>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</si>
  <si>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</si>
  <si>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</si>
  <si>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</si>
  <si>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</si>
  <si>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</si>
  <si>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</si>
  <si>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</si>
  <si>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</si>
  <si>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</si>
  <si>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</si>
  <si>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</si>
  <si>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</si>
  <si>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</si>
  <si>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</si>
  <si>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</si>
  <si>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</si>
  <si>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</si>
  <si>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</si>
  <si>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</si>
  <si>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</si>
  <si>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</si>
  <si>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</si>
  <si>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</si>
  <si>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</si>
  <si>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</si>
  <si>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</si>
  <si>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</si>
  <si>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</si>
  <si>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</si>
  <si>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</si>
  <si>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</si>
  <si>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</si>
  <si>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</si>
  <si>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</si>
  <si>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</si>
  <si>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</si>
  <si>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</si>
  <si>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</si>
  <si>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</si>
  <si>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</si>
  <si>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</si>
  <si>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</si>
  <si>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</si>
  <si>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</si>
  <si>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</si>
  <si>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</si>
  <si>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</si>
  <si>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</si>
  <si>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</si>
  <si>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</si>
  <si>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</si>
  <si>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</si>
  <si>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</si>
  <si>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</si>
  <si>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</si>
  <si>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</si>
  <si>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</si>
  <si>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</si>
  <si>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</si>
  <si>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</si>
  <si>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</si>
  <si>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</si>
  <si>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</si>
  <si>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</si>
  <si>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</si>
  <si>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</si>
  <si>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</si>
  <si>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</si>
  <si>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</si>
  <si>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</si>
  <si>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</si>
  <si>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</si>
  <si>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</si>
  <si>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</si>
  <si>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</si>
  <si>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</si>
  <si>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</si>
  <si>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</si>
  <si>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</si>
  <si>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</si>
  <si>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</si>
  <si>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</si>
  <si>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</si>
  <si>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</si>
  <si>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</si>
  <si>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</si>
  <si>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</si>
  <si>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</si>
  <si>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</si>
  <si>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</si>
  <si>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</si>
  <si>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</si>
  <si>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</si>
  <si>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</si>
  <si>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</si>
  <si>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</si>
  <si>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</si>
  <si>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</si>
  <si>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</si>
  <si>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</si>
  <si>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</si>
  <si>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</si>
  <si>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</si>
  <si>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</si>
  <si>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</si>
  <si>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</si>
  <si>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</si>
  <si>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</si>
  <si>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</si>
  <si>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</si>
  <si>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</si>
  <si>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</si>
  <si>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</si>
  <si>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</si>
  <si>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</si>
  <si>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</si>
  <si>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</si>
  <si>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</si>
  <si>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</si>
  <si>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</si>
  <si>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</si>
  <si>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</si>
  <si>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</si>
  <si>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</si>
  <si>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</si>
  <si>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</si>
  <si>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</si>
  <si>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</si>
  <si>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</si>
  <si>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</si>
  <si>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</si>
  <si>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</si>
  <si>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</si>
  <si>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</si>
  <si>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</si>
  <si>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</si>
  <si>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</si>
  <si>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</si>
  <si>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</si>
  <si>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</si>
  <si>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</si>
  <si>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</si>
  <si>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</si>
  <si>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</si>
  <si>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</si>
  <si>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</si>
  <si>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</si>
  <si>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</si>
  <si>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</si>
  <si>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</si>
  <si>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</si>
  <si>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</si>
  <si>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</si>
  <si>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</si>
  <si>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</si>
  <si>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</si>
  <si>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</si>
  <si>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</si>
  <si>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</si>
  <si>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</si>
  <si>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</si>
  <si>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</si>
  <si>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</si>
  <si>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</si>
  <si>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</si>
  <si>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</si>
  <si>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</si>
  <si>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</si>
  <si>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</si>
  <si>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</si>
  <si>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</si>
  <si>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</si>
  <si>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</si>
  <si>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</si>
  <si>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</si>
  <si>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</si>
  <si>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</si>
  <si>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</si>
  <si>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</si>
  <si>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</si>
  <si>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</si>
  <si>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</si>
  <si>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</si>
  <si>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</si>
  <si>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</si>
  <si>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</si>
  <si>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</si>
  <si>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</si>
  <si>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</si>
  <si>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</si>
  <si>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</si>
  <si>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</si>
  <si>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</si>
  <si>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</si>
  <si>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</si>
  <si>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</si>
  <si>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</si>
  <si>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</si>
  <si>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</si>
  <si>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</si>
  <si>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</si>
  <si>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</si>
  <si>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</si>
  <si>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</si>
  <si>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</si>
  <si>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</si>
  <si>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</si>
  <si>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</si>
  <si>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</si>
  <si>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</si>
  <si>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</si>
  <si>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</si>
  <si>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</si>
  <si>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</si>
  <si>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</si>
  <si>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</si>
  <si>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</si>
  <si>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</si>
  <si>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</si>
  <si>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</si>
  <si>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</si>
  <si>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</si>
  <si>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</si>
  <si>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</si>
  <si>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</si>
  <si>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</si>
  <si>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</si>
  <si>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</si>
  <si>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</si>
  <si>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</si>
  <si>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</si>
  <si>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</si>
  <si>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</si>
  <si>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</si>
  <si>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</si>
  <si>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</si>
  <si>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</si>
  <si>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</si>
  <si>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</si>
  <si>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</si>
  <si>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</si>
  <si>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</si>
  <si>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</si>
  <si>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</si>
  <si>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</si>
  <si>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</si>
  <si>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</si>
  <si>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</si>
  <si>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</si>
  <si>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</si>
  <si>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</si>
  <si>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</si>
  <si>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</si>
  <si>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</si>
  <si>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</si>
  <si>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</si>
  <si>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</si>
  <si>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</si>
  <si>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</si>
  <si>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</si>
  <si>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</si>
  <si>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</si>
  <si>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</si>
  <si>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</si>
  <si>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</si>
  <si>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</si>
  <si>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</si>
  <si>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</si>
  <si>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</si>
  <si>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</si>
  <si>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</si>
  <si>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</si>
  <si>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</si>
  <si>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</si>
  <si>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</si>
  <si>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</si>
  <si>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</si>
  <si>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</si>
  <si>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</si>
  <si>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</si>
  <si>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</si>
  <si>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</si>
  <si>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</si>
  <si>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</si>
  <si>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</si>
  <si>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</si>
  <si>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</si>
  <si>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</si>
  <si>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</si>
  <si>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</si>
  <si>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</si>
  <si>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</si>
  <si>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</si>
  <si>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</si>
  <si>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</si>
  <si>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</si>
  <si>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</si>
  <si>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</si>
  <si>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</si>
  <si>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</si>
  <si>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</si>
  <si>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</si>
  <si>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</si>
  <si>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</si>
  <si>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</si>
  <si>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</si>
  <si>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</si>
  <si>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</si>
  <si>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</si>
  <si>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</si>
  <si>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</si>
  <si>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</si>
  <si>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</si>
  <si>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</si>
  <si>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</si>
  <si>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</si>
  <si>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</si>
  <si>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</si>
  <si>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</si>
  <si>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</si>
  <si>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</si>
  <si>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</si>
  <si>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</si>
  <si>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</si>
  <si>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</si>
  <si>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</si>
  <si>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</si>
  <si>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</si>
  <si>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</si>
  <si>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</si>
  <si>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</si>
  <si>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</si>
  <si>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</si>
  <si>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</si>
  <si>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</si>
  <si>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</si>
  <si>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</si>
  <si>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</si>
  <si>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</si>
  <si>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</si>
  <si>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</si>
  <si>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</si>
  <si>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</si>
  <si>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</si>
  <si>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</si>
  <si>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</si>
  <si>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</si>
  <si>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</si>
  <si>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</si>
  <si>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</si>
  <si>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</si>
  <si>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</si>
  <si>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</si>
  <si>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</si>
  <si>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</si>
  <si>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</si>
  <si>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</si>
  <si>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</si>
  <si>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</si>
  <si>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</si>
  <si>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</si>
  <si>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</si>
  <si>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</si>
  <si>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</si>
  <si>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</si>
  <si>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</si>
  <si>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</si>
  <si>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</si>
  <si>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</si>
  <si>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</si>
  <si>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</si>
  <si>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</si>
  <si>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</si>
  <si>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</si>
  <si>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</si>
  <si>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</si>
  <si>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</si>
  <si>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</si>
  <si>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</si>
  <si>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</si>
  <si>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</si>
  <si>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</si>
  <si>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</si>
  <si>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</si>
  <si>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</si>
  <si>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</si>
  <si>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</si>
  <si>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</si>
  <si>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</si>
  <si>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</si>
  <si>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</si>
  <si>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</si>
  <si>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</si>
  <si>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</si>
  <si>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</si>
  <si>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</si>
  <si>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</si>
  <si>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</si>
  <si>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</si>
  <si>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</si>
  <si>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</si>
  <si>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</si>
  <si>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</si>
  <si>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</si>
  <si>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</si>
  <si>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</si>
  <si>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</si>
  <si>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</si>
  <si>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</si>
  <si>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</si>
  <si>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</si>
  <si>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</si>
  <si>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</si>
  <si>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</si>
  <si>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</si>
  <si>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</si>
  <si>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</si>
  <si>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</si>
  <si>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</si>
  <si>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</si>
  <si>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</si>
  <si>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</si>
  <si>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</si>
  <si>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</si>
  <si>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</si>
  <si>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</si>
  <si>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</si>
  <si>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</si>
  <si>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</si>
  <si>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</si>
  <si>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</si>
  <si>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</si>
  <si>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</si>
  <si>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</si>
  <si>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</si>
  <si>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</si>
  <si>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</si>
  <si>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</si>
  <si>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</si>
  <si>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</si>
  <si>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</si>
  <si>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</si>
  <si>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</si>
  <si>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</si>
  <si>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</si>
  <si>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</si>
  <si>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</si>
  <si>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</si>
  <si>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</si>
  <si>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</si>
  <si>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</si>
  <si>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</si>
  <si>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</si>
  <si>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</si>
  <si>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</si>
  <si>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</si>
  <si>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</si>
  <si>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</si>
  <si>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</si>
  <si>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</si>
  <si>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</si>
  <si>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</si>
  <si>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</si>
  <si>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</si>
  <si>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</si>
  <si>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</si>
  <si>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</si>
  <si>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</si>
  <si>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</si>
  <si>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</si>
  <si>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</si>
  <si>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</si>
  <si>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</si>
  <si>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</si>
  <si>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</si>
  <si>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</si>
  <si>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</si>
  <si>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</si>
  <si>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</si>
  <si>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</si>
  <si>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</si>
  <si>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</si>
  <si>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</si>
  <si>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</si>
  <si>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</si>
  <si>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</si>
  <si>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</si>
  <si>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</si>
  <si>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</si>
  <si>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</si>
  <si>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</si>
  <si>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</si>
  <si>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</si>
  <si>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</si>
  <si>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</si>
  <si>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</si>
  <si>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</si>
  <si>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</si>
  <si>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</si>
  <si>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</si>
  <si>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</si>
  <si>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</si>
  <si>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</si>
  <si>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</si>
  <si>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</si>
  <si>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</si>
  <si>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</si>
  <si>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</si>
  <si>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</si>
  <si>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</si>
  <si>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</si>
  <si>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</si>
  <si>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</si>
  <si>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</si>
  <si>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</si>
  <si>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</si>
  <si>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</si>
  <si>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</si>
  <si>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</si>
  <si>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</si>
  <si>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</si>
  <si>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</si>
  <si>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</si>
  <si>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</si>
  <si>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</si>
  <si>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</si>
  <si>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</si>
  <si>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</si>
  <si>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</si>
  <si>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</si>
  <si>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</si>
  <si>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</si>
  <si>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</si>
  <si>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</si>
  <si>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</si>
  <si>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</si>
  <si>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</si>
  <si>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</si>
  <si>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</si>
  <si>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</si>
  <si>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</si>
  <si>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</si>
  <si>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</si>
  <si>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</si>
  <si>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</si>
  <si>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</si>
  <si>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</si>
  <si>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</si>
  <si>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</si>
  <si>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</si>
  <si>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</si>
  <si>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</si>
  <si>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</si>
  <si>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</si>
  <si>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</si>
  <si>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</si>
  <si>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</si>
  <si>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</si>
  <si>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</si>
  <si>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</si>
  <si>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</si>
  <si>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</si>
  <si>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</si>
  <si>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</si>
  <si>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</si>
  <si>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</si>
  <si>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</si>
  <si>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</si>
  <si>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</si>
  <si>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</si>
  <si>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</si>
  <si>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</si>
  <si>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</si>
  <si>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</si>
  <si>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</si>
  <si>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</si>
  <si>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</si>
  <si>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</si>
  <si>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</si>
  <si>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</si>
  <si>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</si>
  <si>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</si>
  <si>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</si>
  <si>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</si>
  <si>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</si>
  <si>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</si>
  <si>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</si>
  <si>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</si>
  <si>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</si>
  <si>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</si>
  <si>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</si>
  <si>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</si>
  <si>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</si>
  <si>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</si>
  <si>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</si>
  <si>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</si>
  <si>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</si>
  <si>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</si>
  <si>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</si>
  <si>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</si>
  <si>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</si>
  <si>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</si>
  <si>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</si>
  <si>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</si>
  <si>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</si>
  <si>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</si>
  <si>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</si>
  <si>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</si>
  <si>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</si>
  <si>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</si>
  <si>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</si>
  <si>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</si>
  <si>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</si>
  <si>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</si>
  <si>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</si>
  <si>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</si>
  <si>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</si>
  <si>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</si>
  <si>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</si>
  <si>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</si>
  <si>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</si>
  <si>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</si>
  <si>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</si>
  <si>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</si>
  <si>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</si>
  <si>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</si>
  <si>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</si>
  <si>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</si>
  <si>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</si>
  <si>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</si>
  <si>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</si>
  <si>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</si>
  <si>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</si>
  <si>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</si>
  <si>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</si>
  <si>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</si>
  <si>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</si>
  <si>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</si>
  <si>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</si>
  <si>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</si>
  <si>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</si>
  <si>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</si>
  <si>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</si>
  <si>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</si>
  <si>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</si>
  <si>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</si>
  <si>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</si>
  <si>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</si>
  <si>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WINNACUNNET</t>
  </si>
  <si>
    <t>August 2004</t>
  </si>
  <si>
    <t>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</si>
</sst>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5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581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2049015.38+200</f>
        <v>2049215.38</v>
      </c>
      <c r="G9" s="18">
        <v>200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34379.919999999998</v>
      </c>
      <c r="G10" s="18"/>
      <c r="H10" s="18"/>
      <c r="I10" s="18"/>
      <c r="J10" s="67">
        <f>SUM(I440)</f>
        <v>353556.53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70648.28</v>
      </c>
      <c r="G12" s="18"/>
      <c r="H12" s="18">
        <v>64111.9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32455.23</v>
      </c>
      <c r="G13" s="18">
        <v>4235.1400000000003</v>
      </c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22571.73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12501.66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11653.69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2220924.2299999995</v>
      </c>
      <c r="G19" s="41">
        <f>SUM(G9:G18)</f>
        <v>16936.8</v>
      </c>
      <c r="H19" s="41">
        <f>SUM(H9:H18)</f>
        <v>64111.9</v>
      </c>
      <c r="I19" s="41">
        <f>SUM(I9:I18)</f>
        <v>0</v>
      </c>
      <c r="J19" s="41">
        <f>SUM(J9:J18)</f>
        <v>353556.53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0</v>
      </c>
      <c r="H22" s="18">
        <v>64111.9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>
        <v>6536.4</v>
      </c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132849.9+1729</f>
        <v>134578.9</v>
      </c>
      <c r="G24" s="18">
        <v>41.99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21889.39</v>
      </c>
      <c r="G28" s="18">
        <v>118.7</v>
      </c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1683.65+19548.21+5229.93+2077.38</f>
        <v>28539.170000000002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1264577</v>
      </c>
      <c r="G30" s="18">
        <v>10239.709999999999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1449584.46</v>
      </c>
      <c r="G32" s="41">
        <f>SUM(G22:G31)</f>
        <v>16936.8</v>
      </c>
      <c r="H32" s="41">
        <f>SUM(H22:H31)</f>
        <v>64111.9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12501.66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11653.69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-12501.66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f>4808.85+59725</f>
        <v>64533.85</v>
      </c>
      <c r="G48" s="18"/>
      <c r="H48" s="18"/>
      <c r="I48" s="18"/>
      <c r="J48" s="13">
        <f>SUM(I459)</f>
        <v>353556.53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54571.44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490580.79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771339.77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353556.53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2220924.23</v>
      </c>
      <c r="G52" s="41">
        <f>G51+G32</f>
        <v>16936.8</v>
      </c>
      <c r="H52" s="41">
        <f>H51+H32</f>
        <v>64111.9</v>
      </c>
      <c r="I52" s="41">
        <f>I51+I32</f>
        <v>0</v>
      </c>
      <c r="J52" s="41">
        <f>J51+J32</f>
        <v>353556.53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16508422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16508422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3100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5135</v>
      </c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8235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620.54999999999995</v>
      </c>
      <c r="G96" s="18"/>
      <c r="H96" s="18"/>
      <c r="I96" s="18"/>
      <c r="J96" s="18">
        <v>12347.99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352662.5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11599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f>1000+3593.75</f>
        <v>4593.75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17597.669999999998</v>
      </c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-2269.5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80973.68+13377+8700</f>
        <v>103050.68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135192.15</v>
      </c>
      <c r="G111" s="41">
        <f>SUM(G96:G110)</f>
        <v>352662.5</v>
      </c>
      <c r="H111" s="41">
        <f>SUM(H96:H110)</f>
        <v>0</v>
      </c>
      <c r="I111" s="41">
        <f>SUM(I96:I110)</f>
        <v>0</v>
      </c>
      <c r="J111" s="41">
        <f>SUM(J96:J110)</f>
        <v>12347.99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16651849.15</v>
      </c>
      <c r="G112" s="41">
        <f>G60+G111</f>
        <v>352662.5</v>
      </c>
      <c r="H112" s="41">
        <f>H60+H79+H94+H111</f>
        <v>0</v>
      </c>
      <c r="I112" s="41">
        <f>I60+I111</f>
        <v>0</v>
      </c>
      <c r="J112" s="41">
        <f>J60+J111</f>
        <v>12347.99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509512.94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4524436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38948.79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5072897.7300000004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719839.17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283882.51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14537.6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4097.08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1018259.28</v>
      </c>
      <c r="G136" s="41">
        <f>SUM(G123:G135)</f>
        <v>4097.08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6091157.0100000007</v>
      </c>
      <c r="G140" s="41">
        <f>G121+SUM(G136:G137)</f>
        <v>4097.08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1053.84+192879.58</f>
        <v>193933.41999999998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221.3+42055.9</f>
        <v>42277.200000000004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f>36705.57+21434.83</f>
        <v>58140.4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99128.06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22566.63+260849.61</f>
        <v>283416.24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120066.5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20520.009999999998</v>
      </c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120066.5</v>
      </c>
      <c r="G162" s="41">
        <f>SUM(G150:G161)</f>
        <v>119648.06999999999</v>
      </c>
      <c r="H162" s="41">
        <f>SUM(H150:H161)</f>
        <v>577767.26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120066.5</v>
      </c>
      <c r="G169" s="41">
        <f>G147+G162+SUM(G163:G168)</f>
        <v>119648.06999999999</v>
      </c>
      <c r="H169" s="41">
        <f>H147+H162+SUM(H163:H168)</f>
        <v>577767.26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61716.01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61716.01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200000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200000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200000</v>
      </c>
      <c r="G192" s="41">
        <f>G183+SUM(G188:G191)</f>
        <v>61716.01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23063072.66</v>
      </c>
      <c r="G193" s="47">
        <f>G112+G140+G169+G192</f>
        <v>538123.66</v>
      </c>
      <c r="H193" s="47">
        <f>H112+H140+H169+H192</f>
        <v>577767.26</v>
      </c>
      <c r="I193" s="47">
        <f>I112+I140+I169+I192</f>
        <v>0</v>
      </c>
      <c r="J193" s="47">
        <f>J112+J140+J192</f>
        <v>12347.99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5916131.2999999998</v>
      </c>
      <c r="G233" s="18">
        <v>2590538.34</v>
      </c>
      <c r="H233" s="18">
        <v>3409.25</v>
      </c>
      <c r="I233" s="18">
        <f>147620.2+1913.09</f>
        <v>149533.29</v>
      </c>
      <c r="J233" s="18">
        <f>81724.96+5710.95</f>
        <v>87435.91</v>
      </c>
      <c r="K233" s="18">
        <v>-2176.04</v>
      </c>
      <c r="L233" s="19">
        <f>SUM(F233:K233)</f>
        <v>8744872.0500000007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1505699.87</v>
      </c>
      <c r="G234" s="18">
        <v>682382.24</v>
      </c>
      <c r="H234" s="18">
        <v>1363429.48</v>
      </c>
      <c r="I234" s="18">
        <v>3766.12</v>
      </c>
      <c r="J234" s="18">
        <v>1269.48</v>
      </c>
      <c r="K234" s="18">
        <v>780</v>
      </c>
      <c r="L234" s="19">
        <f>SUM(F234:K234)</f>
        <v>3557327.1900000004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161415</v>
      </c>
      <c r="I235" s="18"/>
      <c r="J235" s="18"/>
      <c r="K235" s="18"/>
      <c r="L235" s="19">
        <f>SUM(F235:K235)</f>
        <v>161415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428854.91+56400</f>
        <v>485254.91</v>
      </c>
      <c r="G236" s="18">
        <f>127311.34+4314.6</f>
        <v>131625.94</v>
      </c>
      <c r="H236" s="18">
        <f>133430.72-12500</f>
        <v>120930.72</v>
      </c>
      <c r="I236" s="18">
        <f>55674.47+9685.61</f>
        <v>65360.08</v>
      </c>
      <c r="J236" s="18">
        <v>20668.02</v>
      </c>
      <c r="K236" s="18">
        <f>28390.3+657.89</f>
        <v>29048.19</v>
      </c>
      <c r="L236" s="19">
        <f>SUM(F236:K236)</f>
        <v>852887.85999999987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695328.39+131879+3200</f>
        <v>830407.39</v>
      </c>
      <c r="G238" s="18">
        <f>230+393409.03+0.01</f>
        <v>393639.04000000004</v>
      </c>
      <c r="H238" s="18">
        <f>82626.11+966+270</f>
        <v>83862.11</v>
      </c>
      <c r="I238" s="18">
        <f>3941.9+3299.66</f>
        <v>7241.5599999999995</v>
      </c>
      <c r="J238" s="18">
        <v>880</v>
      </c>
      <c r="K238" s="18">
        <v>699</v>
      </c>
      <c r="L238" s="19">
        <f t="shared" ref="L238:L244" si="4">SUM(F238:K238)</f>
        <v>1316729.1000000003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169340+117191.11+199711.06+46332.26</f>
        <v>532574.42999999993</v>
      </c>
      <c r="G239" s="18">
        <f>26637+268806.45</f>
        <v>295443.45</v>
      </c>
      <c r="H239" s="18">
        <f>20652.93+1547.22+38977.88+44475.65</f>
        <v>105653.68</v>
      </c>
      <c r="I239" s="18">
        <f>36001.51+163569.02</f>
        <v>199570.53</v>
      </c>
      <c r="J239" s="18">
        <f>8408.86+221348.08</f>
        <v>229756.94</v>
      </c>
      <c r="K239" s="18"/>
      <c r="L239" s="19">
        <f t="shared" si="4"/>
        <v>1362999.0299999998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28479</v>
      </c>
      <c r="G240" s="18">
        <v>2178.64</v>
      </c>
      <c r="H240" s="18">
        <f>22158.04+572440</f>
        <v>594598.04</v>
      </c>
      <c r="I240" s="18"/>
      <c r="J240" s="18"/>
      <c r="K240" s="18">
        <v>8760.89</v>
      </c>
      <c r="L240" s="19">
        <f t="shared" si="4"/>
        <v>634016.57000000007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634553.15</v>
      </c>
      <c r="G241" s="18">
        <v>278769.34999999998</v>
      </c>
      <c r="H241" s="18">
        <v>87588.08</v>
      </c>
      <c r="I241" s="18">
        <v>12774.96</v>
      </c>
      <c r="J241" s="18"/>
      <c r="K241" s="18">
        <v>32714.75</v>
      </c>
      <c r="L241" s="19">
        <f t="shared" si="4"/>
        <v>1046400.2899999999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811455.79</v>
      </c>
      <c r="G243" s="18">
        <v>392986.92</v>
      </c>
      <c r="H243" s="18">
        <f>325318+210638.78+18395.24</f>
        <v>554352.02</v>
      </c>
      <c r="I243" s="18">
        <v>462517.19</v>
      </c>
      <c r="J243" s="18">
        <f>58035.93+12809.29+4099.63</f>
        <v>74944.850000000006</v>
      </c>
      <c r="K243" s="18">
        <v>7624.75</v>
      </c>
      <c r="L243" s="19">
        <f t="shared" si="4"/>
        <v>2303881.52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509694.05+178005.25+83032.28+7134.73+49441.57</f>
        <v>827307.88</v>
      </c>
      <c r="I244" s="18"/>
      <c r="J244" s="18"/>
      <c r="K244" s="18"/>
      <c r="L244" s="19">
        <f t="shared" si="4"/>
        <v>827307.88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>
        <f>833.3+15085.21</f>
        <v>15918.509999999998</v>
      </c>
      <c r="L245" s="19">
        <f>SUM(F245:K245)</f>
        <v>15918.509999999998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10744555.84</v>
      </c>
      <c r="G247" s="41">
        <f t="shared" si="5"/>
        <v>4767563.92</v>
      </c>
      <c r="H247" s="41">
        <f t="shared" si="5"/>
        <v>3902546.2600000002</v>
      </c>
      <c r="I247" s="41">
        <f t="shared" si="5"/>
        <v>900763.73</v>
      </c>
      <c r="J247" s="41">
        <f t="shared" si="5"/>
        <v>414955.19999999995</v>
      </c>
      <c r="K247" s="41">
        <f t="shared" si="5"/>
        <v>93370.049999999988</v>
      </c>
      <c r="L247" s="41">
        <f t="shared" si="5"/>
        <v>20823755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111168.39</v>
      </c>
      <c r="G251" s="18">
        <v>8900.51</v>
      </c>
      <c r="H251" s="18"/>
      <c r="I251" s="18">
        <v>1775.79</v>
      </c>
      <c r="J251" s="18"/>
      <c r="K251" s="18"/>
      <c r="L251" s="19">
        <f t="shared" si="6"/>
        <v>121844.68999999999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f>61036.49+95275</f>
        <v>156311.49</v>
      </c>
      <c r="I255" s="18"/>
      <c r="J255" s="18"/>
      <c r="K255" s="18"/>
      <c r="L255" s="19">
        <f t="shared" si="6"/>
        <v>156311.49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111168.39</v>
      </c>
      <c r="G256" s="41">
        <f t="shared" si="7"/>
        <v>8900.51</v>
      </c>
      <c r="H256" s="41">
        <f t="shared" si="7"/>
        <v>156311.49</v>
      </c>
      <c r="I256" s="41">
        <f t="shared" si="7"/>
        <v>1775.79</v>
      </c>
      <c r="J256" s="41">
        <f t="shared" si="7"/>
        <v>0</v>
      </c>
      <c r="K256" s="41">
        <f t="shared" si="7"/>
        <v>0</v>
      </c>
      <c r="L256" s="41">
        <f>SUM(F256:K256)</f>
        <v>278156.18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10855724.23</v>
      </c>
      <c r="G257" s="41">
        <f t="shared" si="8"/>
        <v>4776464.43</v>
      </c>
      <c r="H257" s="41">
        <f t="shared" si="8"/>
        <v>4058857.75</v>
      </c>
      <c r="I257" s="41">
        <f t="shared" si="8"/>
        <v>902539.52</v>
      </c>
      <c r="J257" s="41">
        <f t="shared" si="8"/>
        <v>414955.19999999995</v>
      </c>
      <c r="K257" s="41">
        <f t="shared" si="8"/>
        <v>93370.049999999988</v>
      </c>
      <c r="L257" s="41">
        <f t="shared" si="8"/>
        <v>21101911.18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1320000</v>
      </c>
      <c r="L260" s="19">
        <f>SUM(F260:K260)</f>
        <v>1320000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633918.5</v>
      </c>
      <c r="L261" s="19">
        <f>SUM(F261:K261)</f>
        <v>633918.5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61716.01</v>
      </c>
      <c r="L263" s="19">
        <f>SUM(F263:K263)</f>
        <v>61716.01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2015634.51</v>
      </c>
      <c r="L270" s="41">
        <f t="shared" si="9"/>
        <v>2015634.51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10855724.23</v>
      </c>
      <c r="G271" s="42">
        <f t="shared" si="11"/>
        <v>4776464.43</v>
      </c>
      <c r="H271" s="42">
        <f t="shared" si="11"/>
        <v>4058857.75</v>
      </c>
      <c r="I271" s="42">
        <f t="shared" si="11"/>
        <v>902539.52</v>
      </c>
      <c r="J271" s="42">
        <f t="shared" si="11"/>
        <v>414955.19999999995</v>
      </c>
      <c r="K271" s="42">
        <f t="shared" si="11"/>
        <v>2109004.56</v>
      </c>
      <c r="L271" s="42">
        <f t="shared" si="11"/>
        <v>23117545.690000001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139321</v>
      </c>
      <c r="G314" s="18">
        <v>36049.949999999997</v>
      </c>
      <c r="H314" s="18">
        <v>1583.43</v>
      </c>
      <c r="I314" s="18">
        <v>194.35</v>
      </c>
      <c r="J314" s="18">
        <v>9259.98</v>
      </c>
      <c r="K314" s="18"/>
      <c r="L314" s="19">
        <f>SUM(F314:K314)</f>
        <v>186408.71000000002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77255.7</v>
      </c>
      <c r="G315" s="18">
        <v>31040.77</v>
      </c>
      <c r="H315" s="18">
        <v>135595.84</v>
      </c>
      <c r="I315" s="18">
        <v>9249.52</v>
      </c>
      <c r="J315" s="18">
        <v>22115.4</v>
      </c>
      <c r="K315" s="18">
        <v>1612.33</v>
      </c>
      <c r="L315" s="19">
        <f>SUM(F315:K315)</f>
        <v>276869.56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>
        <v>50</v>
      </c>
      <c r="L319" s="19">
        <f t="shared" ref="L319:L325" si="16">SUM(F319:K319)</f>
        <v>50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28705</v>
      </c>
      <c r="G320" s="18">
        <v>6907.28</v>
      </c>
      <c r="H320" s="18">
        <v>5700</v>
      </c>
      <c r="I320" s="18"/>
      <c r="J320" s="18"/>
      <c r="K320" s="18"/>
      <c r="L320" s="19">
        <f t="shared" si="16"/>
        <v>41312.28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2500</v>
      </c>
      <c r="G321" s="18">
        <v>602.75</v>
      </c>
      <c r="H321" s="18"/>
      <c r="I321" s="18"/>
      <c r="J321" s="18"/>
      <c r="K321" s="18">
        <f>12911.55+0.02</f>
        <v>12911.57</v>
      </c>
      <c r="L321" s="19">
        <f t="shared" si="16"/>
        <v>16014.32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247781.7</v>
      </c>
      <c r="G328" s="42">
        <f t="shared" si="17"/>
        <v>74600.75</v>
      </c>
      <c r="H328" s="42">
        <f t="shared" si="17"/>
        <v>142879.26999999999</v>
      </c>
      <c r="I328" s="42">
        <f t="shared" si="17"/>
        <v>9443.8700000000008</v>
      </c>
      <c r="J328" s="42">
        <f t="shared" si="17"/>
        <v>31375.38</v>
      </c>
      <c r="K328" s="42">
        <f t="shared" si="17"/>
        <v>14573.9</v>
      </c>
      <c r="L328" s="41">
        <f t="shared" si="17"/>
        <v>520654.87000000005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46888.5</v>
      </c>
      <c r="G333" s="18">
        <v>8063.08</v>
      </c>
      <c r="H333" s="18"/>
      <c r="I333" s="18">
        <v>1482.23</v>
      </c>
      <c r="J333" s="18">
        <v>678.58</v>
      </c>
      <c r="K333" s="18"/>
      <c r="L333" s="19">
        <f t="shared" si="18"/>
        <v>57112.390000000007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46888.5</v>
      </c>
      <c r="G337" s="41">
        <f t="shared" si="19"/>
        <v>8063.08</v>
      </c>
      <c r="H337" s="41">
        <f t="shared" si="19"/>
        <v>0</v>
      </c>
      <c r="I337" s="41">
        <f t="shared" si="19"/>
        <v>1482.23</v>
      </c>
      <c r="J337" s="41">
        <f t="shared" si="19"/>
        <v>678.58</v>
      </c>
      <c r="K337" s="41">
        <f t="shared" si="19"/>
        <v>0</v>
      </c>
      <c r="L337" s="41">
        <f t="shared" si="18"/>
        <v>57112.390000000007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294670.2</v>
      </c>
      <c r="G338" s="41">
        <f t="shared" si="20"/>
        <v>82663.83</v>
      </c>
      <c r="H338" s="41">
        <f t="shared" si="20"/>
        <v>142879.26999999999</v>
      </c>
      <c r="I338" s="41">
        <f t="shared" si="20"/>
        <v>10926.1</v>
      </c>
      <c r="J338" s="41">
        <f t="shared" si="20"/>
        <v>32053.960000000003</v>
      </c>
      <c r="K338" s="41">
        <f t="shared" si="20"/>
        <v>14573.9</v>
      </c>
      <c r="L338" s="41">
        <f t="shared" si="20"/>
        <v>577767.26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294670.2</v>
      </c>
      <c r="G352" s="41">
        <f>G338</f>
        <v>82663.83</v>
      </c>
      <c r="H352" s="41">
        <f>H338</f>
        <v>142879.26999999999</v>
      </c>
      <c r="I352" s="41">
        <f>I338</f>
        <v>10926.1</v>
      </c>
      <c r="J352" s="41">
        <f>J338</f>
        <v>32053.960000000003</v>
      </c>
      <c r="K352" s="47">
        <f>K338+K351</f>
        <v>14573.9</v>
      </c>
      <c r="L352" s="41">
        <f>L338+L351</f>
        <v>577767.26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f>52748+207006.3</f>
        <v>259754.3</v>
      </c>
      <c r="G360" s="18"/>
      <c r="H360" s="18">
        <f>1538.21+12858.58</f>
        <v>14396.79</v>
      </c>
      <c r="I360" s="18">
        <f>14837.98+230112.44+20520.01</f>
        <v>265470.43</v>
      </c>
      <c r="J360" s="18">
        <v>2088.41</v>
      </c>
      <c r="K360" s="18">
        <v>1329.39</v>
      </c>
      <c r="L360" s="19">
        <f>SUM(F360:K360)</f>
        <v>543039.32000000007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259754.3</v>
      </c>
      <c r="G362" s="47">
        <f t="shared" si="22"/>
        <v>0</v>
      </c>
      <c r="H362" s="47">
        <f t="shared" si="22"/>
        <v>14396.79</v>
      </c>
      <c r="I362" s="47">
        <f t="shared" si="22"/>
        <v>265470.43</v>
      </c>
      <c r="J362" s="47">
        <f t="shared" si="22"/>
        <v>2088.41</v>
      </c>
      <c r="K362" s="47">
        <f t="shared" si="22"/>
        <v>1329.39</v>
      </c>
      <c r="L362" s="47">
        <f t="shared" si="22"/>
        <v>543039.32000000007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>
        <f>230112.44+20520.01</f>
        <v>250632.45</v>
      </c>
      <c r="I367" s="56">
        <f>SUM(F367:H367)</f>
        <v>250632.45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>
        <v>14837.98</v>
      </c>
      <c r="I368" s="56">
        <f>SUM(F368:H368)</f>
        <v>14837.98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265470.43</v>
      </c>
      <c r="I369" s="47">
        <f>SUM(I367:I368)</f>
        <v>265470.43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6675.13</v>
      </c>
      <c r="I396" s="18"/>
      <c r="J396" s="24" t="s">
        <v>288</v>
      </c>
      <c r="K396" s="24" t="s">
        <v>288</v>
      </c>
      <c r="L396" s="56">
        <f t="shared" si="26"/>
        <v>6675.13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5535.86</v>
      </c>
      <c r="I397" s="18"/>
      <c r="J397" s="24" t="s">
        <v>288</v>
      </c>
      <c r="K397" s="24" t="s">
        <v>288</v>
      </c>
      <c r="L397" s="56">
        <f t="shared" si="26"/>
        <v>5535.86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>
        <v>137</v>
      </c>
      <c r="I399" s="18"/>
      <c r="J399" s="24" t="s">
        <v>288</v>
      </c>
      <c r="K399" s="24" t="s">
        <v>288</v>
      </c>
      <c r="L399" s="56">
        <f t="shared" si="26"/>
        <v>137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12347.99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12347.99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12347.99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12347.99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>
        <v>200000</v>
      </c>
      <c r="L423" s="56">
        <f t="shared" si="29"/>
        <v>200000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200000</v>
      </c>
      <c r="L427" s="47">
        <f t="shared" si="30"/>
        <v>200000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200000</v>
      </c>
      <c r="L434" s="47">
        <f t="shared" si="32"/>
        <v>200000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353556.53</v>
      </c>
      <c r="H440" s="18"/>
      <c r="I440" s="56">
        <f t="shared" si="33"/>
        <v>353556.53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353556.53</v>
      </c>
      <c r="H446" s="13">
        <f>SUM(H439:H445)</f>
        <v>0</v>
      </c>
      <c r="I446" s="13">
        <f>SUM(I439:I445)</f>
        <v>353556.53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353556.53</v>
      </c>
      <c r="H459" s="18"/>
      <c r="I459" s="56">
        <f t="shared" si="34"/>
        <v>353556.53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353556.53</v>
      </c>
      <c r="H460" s="83">
        <f>SUM(H454:H459)</f>
        <v>0</v>
      </c>
      <c r="I460" s="83">
        <f>SUM(I454:I459)</f>
        <v>353556.53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353556.53</v>
      </c>
      <c r="H461" s="42">
        <f>H452+H460</f>
        <v>0</v>
      </c>
      <c r="I461" s="42">
        <f>I452+I460</f>
        <v>353556.53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825812.8</v>
      </c>
      <c r="G465" s="18">
        <v>4915.66</v>
      </c>
      <c r="H465" s="18">
        <v>0</v>
      </c>
      <c r="I465" s="18"/>
      <c r="J465" s="18">
        <v>541208.54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23063072.66</v>
      </c>
      <c r="G468" s="18">
        <v>538123.66</v>
      </c>
      <c r="H468" s="18">
        <v>577767.26</v>
      </c>
      <c r="I468" s="18"/>
      <c r="J468" s="18">
        <v>12347.99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23063072.66</v>
      </c>
      <c r="G470" s="53">
        <f>SUM(G468:G469)</f>
        <v>538123.66</v>
      </c>
      <c r="H470" s="53">
        <f>SUM(H468:H469)</f>
        <v>577767.26</v>
      </c>
      <c r="I470" s="53">
        <f>SUM(I468:I469)</f>
        <v>0</v>
      </c>
      <c r="J470" s="53">
        <f>SUM(J468:J469)</f>
        <v>12347.99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23117545.690000001</v>
      </c>
      <c r="G472" s="18">
        <v>543039.31999999995</v>
      </c>
      <c r="H472" s="18">
        <v>577767.26</v>
      </c>
      <c r="I472" s="18"/>
      <c r="J472" s="18">
        <v>200000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23117545.690000001</v>
      </c>
      <c r="G474" s="53">
        <f>SUM(G472:G473)</f>
        <v>543039.31999999995</v>
      </c>
      <c r="H474" s="53">
        <f>SUM(H472:H473)</f>
        <v>577767.26</v>
      </c>
      <c r="I474" s="53">
        <f>SUM(I472:I473)</f>
        <v>0</v>
      </c>
      <c r="J474" s="53">
        <f>SUM(J472:J473)</f>
        <v>200000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771339.76999999955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353556.53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25484800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4.54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14580000</v>
      </c>
      <c r="G495" s="18"/>
      <c r="H495" s="18"/>
      <c r="I495" s="18"/>
      <c r="J495" s="18"/>
      <c r="K495" s="53">
        <f>SUM(F495:J495)</f>
        <v>14580000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1953918.5</v>
      </c>
      <c r="G497" s="18"/>
      <c r="H497" s="18"/>
      <c r="I497" s="18"/>
      <c r="J497" s="18"/>
      <c r="K497" s="53">
        <f t="shared" si="35"/>
        <v>1953918.5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13260000</v>
      </c>
      <c r="G498" s="204"/>
      <c r="H498" s="204"/>
      <c r="I498" s="204"/>
      <c r="J498" s="204"/>
      <c r="K498" s="205">
        <f t="shared" si="35"/>
        <v>13260000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2544446.75</v>
      </c>
      <c r="G499" s="18"/>
      <c r="H499" s="18"/>
      <c r="I499" s="18"/>
      <c r="J499" s="18"/>
      <c r="K499" s="53">
        <f t="shared" si="35"/>
        <v>2544446.75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15804446.75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15804446.75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1385000</v>
      </c>
      <c r="G501" s="204"/>
      <c r="H501" s="204"/>
      <c r="I501" s="204"/>
      <c r="J501" s="204"/>
      <c r="K501" s="205">
        <f t="shared" si="35"/>
        <v>1385000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327581.25+292956.25-33879</f>
        <v>586658.5</v>
      </c>
      <c r="G502" s="18"/>
      <c r="H502" s="18"/>
      <c r="I502" s="18"/>
      <c r="J502" s="18"/>
      <c r="K502" s="53">
        <f t="shared" si="35"/>
        <v>586658.5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1971658.5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1971658.5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796193+283282.44+13312+63943.7</f>
        <v>1156731.1399999999</v>
      </c>
      <c r="G523" s="18">
        <f>313434.89+192600.77+1018.36+30022.41</f>
        <v>537076.43000000005</v>
      </c>
      <c r="H523" s="18">
        <f>1363429.48-19736.2+135595.84</f>
        <v>1479289.12</v>
      </c>
      <c r="I523" s="18">
        <f>3766.12+9249.52</f>
        <v>13015.64</v>
      </c>
      <c r="J523" s="18">
        <f>1269.48+22115.4</f>
        <v>23384.880000000001</v>
      </c>
      <c r="K523" s="18">
        <f>780+1612.33</f>
        <v>2392.33</v>
      </c>
      <c r="L523" s="88">
        <f>SUM(F523:K523)</f>
        <v>3211889.54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1156731.1399999999</v>
      </c>
      <c r="G524" s="108">
        <f t="shared" ref="G524:L524" si="36">SUM(G521:G523)</f>
        <v>537076.43000000005</v>
      </c>
      <c r="H524" s="108">
        <f t="shared" si="36"/>
        <v>1479289.12</v>
      </c>
      <c r="I524" s="108">
        <f t="shared" si="36"/>
        <v>13015.64</v>
      </c>
      <c r="J524" s="108">
        <f t="shared" si="36"/>
        <v>23384.880000000001</v>
      </c>
      <c r="K524" s="108">
        <f t="shared" si="36"/>
        <v>2392.33</v>
      </c>
      <c r="L524" s="89">
        <f t="shared" si="36"/>
        <v>3211889.54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293485.76+649</f>
        <v>294134.76</v>
      </c>
      <c r="G528" s="18">
        <v>120945.56</v>
      </c>
      <c r="H528" s="18"/>
      <c r="I528" s="18"/>
      <c r="J528" s="18"/>
      <c r="K528" s="18"/>
      <c r="L528" s="88">
        <f>SUM(F528:K528)</f>
        <v>415080.32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294134.76</v>
      </c>
      <c r="G529" s="89">
        <f t="shared" ref="G529:L529" si="37">SUM(G526:G528)</f>
        <v>120945.56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415080.32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>84000+48089.67</f>
        <v>132089.66999999998</v>
      </c>
      <c r="G533" s="18">
        <f>22134+33267.02</f>
        <v>55401.02</v>
      </c>
      <c r="H533" s="18"/>
      <c r="I533" s="18"/>
      <c r="J533" s="18"/>
      <c r="K533" s="18"/>
      <c r="L533" s="88">
        <f>SUM(F533:K533)</f>
        <v>187490.68999999997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132089.66999999998</v>
      </c>
      <c r="G534" s="89">
        <f t="shared" ref="G534:L534" si="38">SUM(G531:G533)</f>
        <v>55401.02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187490.68999999997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19736.2</v>
      </c>
      <c r="I538" s="18"/>
      <c r="J538" s="18"/>
      <c r="K538" s="18"/>
      <c r="L538" s="88">
        <f>SUM(F538:K538)</f>
        <v>19736.2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19736.2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19736.2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178005.25</v>
      </c>
      <c r="I543" s="18"/>
      <c r="J543" s="18"/>
      <c r="K543" s="18"/>
      <c r="L543" s="88">
        <f>SUM(F543:K543)</f>
        <v>178005.25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178005.25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178005.25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1582955.5699999998</v>
      </c>
      <c r="G545" s="89">
        <f t="shared" ref="G545:L545" si="41">G524+G529+G534+G539+G544</f>
        <v>713423.01</v>
      </c>
      <c r="H545" s="89">
        <f t="shared" si="41"/>
        <v>1677030.57</v>
      </c>
      <c r="I545" s="89">
        <f t="shared" si="41"/>
        <v>13015.64</v>
      </c>
      <c r="J545" s="89">
        <f t="shared" si="41"/>
        <v>23384.880000000001</v>
      </c>
      <c r="K545" s="89">
        <f t="shared" si="41"/>
        <v>2392.33</v>
      </c>
      <c r="L545" s="89">
        <f t="shared" si="41"/>
        <v>4012202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3211889.54</v>
      </c>
      <c r="G551" s="87">
        <f>L528</f>
        <v>415080.32</v>
      </c>
      <c r="H551" s="87">
        <f>L533</f>
        <v>187490.68999999997</v>
      </c>
      <c r="I551" s="87">
        <f>L538</f>
        <v>19736.2</v>
      </c>
      <c r="J551" s="87">
        <f>L543</f>
        <v>178005.25</v>
      </c>
      <c r="K551" s="87">
        <f>SUM(F551:J551)</f>
        <v>4012202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3211889.54</v>
      </c>
      <c r="G552" s="89">
        <f t="shared" si="42"/>
        <v>415080.32</v>
      </c>
      <c r="H552" s="89">
        <f t="shared" si="42"/>
        <v>187490.68999999997</v>
      </c>
      <c r="I552" s="89">
        <f t="shared" si="42"/>
        <v>19736.2</v>
      </c>
      <c r="J552" s="89">
        <f t="shared" si="42"/>
        <v>178005.25</v>
      </c>
      <c r="K552" s="89">
        <f t="shared" si="42"/>
        <v>4012202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48880</v>
      </c>
      <c r="I579" s="87">
        <f t="shared" si="47"/>
        <v>48880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>
        <f>175707.68+7541+42637+7887.29+63694.48+92744.52</f>
        <v>390211.97000000003</v>
      </c>
      <c r="I582" s="87">
        <f t="shared" si="47"/>
        <v>390211.97000000003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>
        <f>110938.26+111855.69+37462.32+3569.58+155620.93+349469.77+7192+37889.3</f>
        <v>813997.85000000009</v>
      </c>
      <c r="I583" s="87">
        <f t="shared" si="47"/>
        <v>813997.85000000009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>
        <v>161415</v>
      </c>
      <c r="I585" s="87">
        <f t="shared" si="47"/>
        <v>161415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/>
      <c r="I591" s="18"/>
      <c r="J591" s="18">
        <f>509694.05-50969.4</f>
        <v>458724.64999999997</v>
      </c>
      <c r="K591" s="104">
        <f t="shared" ref="K591:K597" si="48">SUM(H591:J591)</f>
        <v>458724.64999999997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>
        <v>178005.25</v>
      </c>
      <c r="K592" s="104">
        <f t="shared" si="48"/>
        <v>178005.25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50969.4</v>
      </c>
      <c r="K593" s="104">
        <f t="shared" si="48"/>
        <v>50969.4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>
        <v>83032.28</v>
      </c>
      <c r="K594" s="104">
        <f t="shared" si="48"/>
        <v>83032.28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>
        <v>7134.73</v>
      </c>
      <c r="K595" s="104">
        <f t="shared" si="48"/>
        <v>7134.73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>
        <v>49441.57</v>
      </c>
      <c r="K597" s="104">
        <f t="shared" si="48"/>
        <v>49441.57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827307.87999999989</v>
      </c>
      <c r="K598" s="108">
        <f>SUM(K591:K597)</f>
        <v>827307.87999999989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>
        <v>21903.87</v>
      </c>
      <c r="K603" s="104">
        <f>SUM(H603:J603)</f>
        <v>21903.87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>
        <f>409244.25-21903.87+5710.95+32053.96</f>
        <v>425105.29000000004</v>
      </c>
      <c r="K604" s="104">
        <f>SUM(H604:J604)</f>
        <v>425105.29000000004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447009.16000000003</v>
      </c>
      <c r="K605" s="108">
        <f>SUM(K602:K604)</f>
        <v>447009.16000000003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56400</v>
      </c>
      <c r="G613" s="18"/>
      <c r="H613" s="18"/>
      <c r="I613" s="18">
        <v>9685.61</v>
      </c>
      <c r="J613" s="18"/>
      <c r="K613" s="18"/>
      <c r="L613" s="88">
        <f>SUM(F613:K613)</f>
        <v>66085.61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56400</v>
      </c>
      <c r="G614" s="108">
        <f t="shared" si="49"/>
        <v>0</v>
      </c>
      <c r="H614" s="108">
        <f t="shared" si="49"/>
        <v>0</v>
      </c>
      <c r="I614" s="108">
        <f t="shared" si="49"/>
        <v>9685.61</v>
      </c>
      <c r="J614" s="108">
        <f t="shared" si="49"/>
        <v>0</v>
      </c>
      <c r="K614" s="108">
        <f t="shared" si="49"/>
        <v>0</v>
      </c>
      <c r="L614" s="89">
        <f t="shared" si="49"/>
        <v>66085.61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2220924.2299999995</v>
      </c>
      <c r="H617" s="109">
        <f>SUM(F52)</f>
        <v>2220924.23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16936.8</v>
      </c>
      <c r="H618" s="109">
        <f>SUM(G52)</f>
        <v>16936.8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64111.9</v>
      </c>
      <c r="H619" s="109">
        <f>SUM(H52)</f>
        <v>64111.9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353556.53</v>
      </c>
      <c r="H621" s="109">
        <f>SUM(J52)</f>
        <v>353556.53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771339.77</v>
      </c>
      <c r="H622" s="109">
        <f>F476</f>
        <v>771339.76999999955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353556.53</v>
      </c>
      <c r="H626" s="109">
        <f>J476</f>
        <v>353556.53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23063072.66</v>
      </c>
      <c r="H627" s="104">
        <f>SUM(F468)</f>
        <v>23063072.66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538123.66</v>
      </c>
      <c r="H628" s="104">
        <f>SUM(G468)</f>
        <v>538123.66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577767.26</v>
      </c>
      <c r="H629" s="104">
        <f>SUM(H468)</f>
        <v>577767.26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12347.99</v>
      </c>
      <c r="H631" s="104">
        <f>SUM(J468)</f>
        <v>12347.99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23117545.690000001</v>
      </c>
      <c r="H632" s="104">
        <f>SUM(F472)</f>
        <v>23117545.690000001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577767.26</v>
      </c>
      <c r="H633" s="104">
        <f>SUM(H472)</f>
        <v>577767.26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265470.43</v>
      </c>
      <c r="H634" s="104">
        <f>I369</f>
        <v>265470.43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543039.32000000007</v>
      </c>
      <c r="H635" s="104">
        <f>SUM(G472)</f>
        <v>543039.31999999995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12347.99</v>
      </c>
      <c r="H637" s="164">
        <f>SUM(J468)</f>
        <v>12347.99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200000</v>
      </c>
      <c r="H638" s="164">
        <f>SUM(J472)</f>
        <v>200000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353556.53</v>
      </c>
      <c r="H640" s="104">
        <f>SUM(G461)</f>
        <v>353556.53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353556.53</v>
      </c>
      <c r="H642" s="104">
        <f>SUM(I461)</f>
        <v>353556.53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12347.99</v>
      </c>
      <c r="H644" s="104">
        <f>H408</f>
        <v>12347.99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12347.99</v>
      </c>
      <c r="H646" s="104">
        <f>L408</f>
        <v>12347.99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827307.87999999989</v>
      </c>
      <c r="H647" s="104">
        <f>L208+L226+L244</f>
        <v>827307.88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447009.16000000003</v>
      </c>
      <c r="H648" s="104">
        <f>(J257+J338)-(J255+J336)</f>
        <v>447009.16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0</v>
      </c>
      <c r="H649" s="104">
        <f>H598</f>
        <v>0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827307.88</v>
      </c>
      <c r="H651" s="104">
        <f>J598</f>
        <v>827307.87999999989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61716.01</v>
      </c>
      <c r="H652" s="104">
        <f>K263+K345</f>
        <v>61716.01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21887449.190000001</v>
      </c>
      <c r="I660" s="19">
        <f>SUM(F660:H660)</f>
        <v>21887449.190000001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352662.5</v>
      </c>
      <c r="I661" s="19">
        <f>SUM(F661:H661)</f>
        <v>352662.5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827307.88</v>
      </c>
      <c r="I662" s="19">
        <f>SUM(F662:H662)</f>
        <v>827307.88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1927599.59</v>
      </c>
      <c r="I663" s="19">
        <f>SUM(F663:H663)</f>
        <v>1927599.59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18779879.220000003</v>
      </c>
      <c r="I664" s="19">
        <f>I660-SUM(I661:I663)</f>
        <v>18779879.220000003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>
        <v>1010.44</v>
      </c>
      <c r="I665" s="19">
        <f>SUM(F665:H665)</f>
        <v>1010.44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>
        <f>ROUND(H664/H665,2)</f>
        <v>18585.84</v>
      </c>
      <c r="I667" s="19">
        <f>ROUND(I664/I665,2)</f>
        <v>18585.84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-26.72</v>
      </c>
      <c r="I670" s="19">
        <f>SUM(F670:H670)</f>
        <v>-26.72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>
        <f>ROUND((H664+H669)/(H665+H670),2)</f>
        <v>19090.68</v>
      </c>
      <c r="I672" s="19">
        <f>ROUND((I664+I669)/(I665+I670),2)</f>
        <v>19090.68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7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WINNACUNNET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6055452.2999999998</v>
      </c>
      <c r="C9" s="229">
        <f>'DOE25'!G197+'DOE25'!G215+'DOE25'!G233+'DOE25'!G276+'DOE25'!G295+'DOE25'!G314</f>
        <v>2626588.29</v>
      </c>
    </row>
    <row r="10" spans="1:3" x14ac:dyDescent="0.2">
      <c r="A10" t="s">
        <v>778</v>
      </c>
      <c r="B10" s="240">
        <f>5630404.9+139321</f>
        <v>5769725.9000000004</v>
      </c>
      <c r="C10" s="240">
        <f>2546052.59+36049.95</f>
        <v>2582102.54</v>
      </c>
    </row>
    <row r="11" spans="1:3" x14ac:dyDescent="0.2">
      <c r="A11" t="s">
        <v>779</v>
      </c>
      <c r="B11" s="240">
        <f>50895</f>
        <v>50895</v>
      </c>
      <c r="C11" s="240">
        <f>10102.66</f>
        <v>10102.66</v>
      </c>
    </row>
    <row r="12" spans="1:3" x14ac:dyDescent="0.2">
      <c r="A12" t="s">
        <v>780</v>
      </c>
      <c r="B12" s="240">
        <f>90024.81+36892.14+13994.86+93919.59</f>
        <v>234831.4</v>
      </c>
      <c r="C12" s="240">
        <f>18049.92+7323.09+1214.75+7795.33</f>
        <v>34383.089999999997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6055452.3000000007</v>
      </c>
      <c r="C13" s="231">
        <f>SUM(C10:C12)</f>
        <v>2626588.29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1582955.57</v>
      </c>
      <c r="C18" s="229">
        <f>'DOE25'!G198+'DOE25'!G216+'DOE25'!G234+'DOE25'!G277+'DOE25'!G296+'DOE25'!G315</f>
        <v>713423.01</v>
      </c>
    </row>
    <row r="19" spans="1:3" x14ac:dyDescent="0.2">
      <c r="A19" t="s">
        <v>778</v>
      </c>
      <c r="B19" s="240">
        <f>796193+13312</f>
        <v>809505</v>
      </c>
      <c r="C19" s="240">
        <f>313434.89+1018.36</f>
        <v>314453.25</v>
      </c>
    </row>
    <row r="20" spans="1:3" x14ac:dyDescent="0.2">
      <c r="A20" t="s">
        <v>779</v>
      </c>
      <c r="B20" s="240">
        <f>283282.44+649+63943.7</f>
        <v>347875.14</v>
      </c>
      <c r="C20" s="240">
        <f>192600.77+30022.41</f>
        <v>222623.18</v>
      </c>
    </row>
    <row r="21" spans="1:3" x14ac:dyDescent="0.2">
      <c r="A21" t="s">
        <v>780</v>
      </c>
      <c r="B21" s="240">
        <f>84000+48089.67+293485.76</f>
        <v>425575.43</v>
      </c>
      <c r="C21" s="240">
        <f>22134+33267.02+120945.56</f>
        <v>176346.58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1582955.57</v>
      </c>
      <c r="C22" s="231">
        <f>SUM(C19:C21)</f>
        <v>713423.00999999989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485254.91</v>
      </c>
      <c r="C36" s="235">
        <f>'DOE25'!G200+'DOE25'!G218+'DOE25'!G236+'DOE25'!G279+'DOE25'!G298+'DOE25'!G317</f>
        <v>131625.94</v>
      </c>
    </row>
    <row r="37" spans="1:3" x14ac:dyDescent="0.2">
      <c r="A37" t="s">
        <v>778</v>
      </c>
      <c r="B37" s="240">
        <v>56400</v>
      </c>
      <c r="C37" s="240">
        <v>4314.6000000000004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428854.91</v>
      </c>
      <c r="C39" s="240">
        <v>127311.34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485254.91</v>
      </c>
      <c r="C40" s="231">
        <f>SUM(C37:C39)</f>
        <v>131625.94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WINNACUNNET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13316502.100000001</v>
      </c>
      <c r="D5" s="20">
        <f>SUM('DOE25'!L197:L200)+SUM('DOE25'!L215:L218)+SUM('DOE25'!L233:L236)-F5-G5</f>
        <v>13179476.540000001</v>
      </c>
      <c r="E5" s="243"/>
      <c r="F5" s="255">
        <f>SUM('DOE25'!J197:J200)+SUM('DOE25'!J215:J218)+SUM('DOE25'!J233:J236)</f>
        <v>109373.41</v>
      </c>
      <c r="G5" s="53">
        <f>SUM('DOE25'!K197:K200)+SUM('DOE25'!K215:K218)+SUM('DOE25'!K233:K236)</f>
        <v>27652.149999999998</v>
      </c>
      <c r="H5" s="259"/>
    </row>
    <row r="6" spans="1:9" x14ac:dyDescent="0.2">
      <c r="A6" s="32">
        <v>2100</v>
      </c>
      <c r="B6" t="s">
        <v>800</v>
      </c>
      <c r="C6" s="245">
        <f t="shared" si="0"/>
        <v>1316729.1000000003</v>
      </c>
      <c r="D6" s="20">
        <f>'DOE25'!L202+'DOE25'!L220+'DOE25'!L238-F6-G6</f>
        <v>1315150.1000000003</v>
      </c>
      <c r="E6" s="243"/>
      <c r="F6" s="255">
        <f>'DOE25'!J202+'DOE25'!J220+'DOE25'!J238</f>
        <v>880</v>
      </c>
      <c r="G6" s="53">
        <f>'DOE25'!K202+'DOE25'!K220+'DOE25'!K238</f>
        <v>699</v>
      </c>
      <c r="H6" s="259"/>
    </row>
    <row r="7" spans="1:9" x14ac:dyDescent="0.2">
      <c r="A7" s="32">
        <v>2200</v>
      </c>
      <c r="B7" t="s">
        <v>833</v>
      </c>
      <c r="C7" s="245">
        <f t="shared" si="0"/>
        <v>1362999.0299999998</v>
      </c>
      <c r="D7" s="20">
        <f>'DOE25'!L203+'DOE25'!L221+'DOE25'!L239-F7-G7</f>
        <v>1133242.0899999999</v>
      </c>
      <c r="E7" s="243"/>
      <c r="F7" s="255">
        <f>'DOE25'!J203+'DOE25'!J221+'DOE25'!J239</f>
        <v>229756.94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402219.21000000008</v>
      </c>
      <c r="D8" s="243"/>
      <c r="E8" s="20">
        <f>'DOE25'!L204+'DOE25'!L222+'DOE25'!L240-F8-G8-D9-D11</f>
        <v>393458.32000000007</v>
      </c>
      <c r="F8" s="255">
        <f>'DOE25'!J204+'DOE25'!J222+'DOE25'!J240</f>
        <v>0</v>
      </c>
      <c r="G8" s="53">
        <f>'DOE25'!K204+'DOE25'!K222+'DOE25'!K240</f>
        <v>8760.89</v>
      </c>
      <c r="H8" s="259"/>
    </row>
    <row r="9" spans="1:9" x14ac:dyDescent="0.2">
      <c r="A9" s="32">
        <v>2310</v>
      </c>
      <c r="B9" t="s">
        <v>817</v>
      </c>
      <c r="C9" s="245">
        <f t="shared" si="0"/>
        <v>59397.83</v>
      </c>
      <c r="D9" s="244">
        <v>59397.83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8650</v>
      </c>
      <c r="D10" s="243"/>
      <c r="E10" s="244">
        <v>8650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172399.53</v>
      </c>
      <c r="D11" s="244">
        <v>172399.53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1046400.2899999999</v>
      </c>
      <c r="D12" s="20">
        <f>'DOE25'!L205+'DOE25'!L223+'DOE25'!L241-F12-G12</f>
        <v>1013685.5399999999</v>
      </c>
      <c r="E12" s="243"/>
      <c r="F12" s="255">
        <f>'DOE25'!J205+'DOE25'!J223+'DOE25'!J241</f>
        <v>0</v>
      </c>
      <c r="G12" s="53">
        <f>'DOE25'!K205+'DOE25'!K223+'DOE25'!K241</f>
        <v>32714.75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2303881.52</v>
      </c>
      <c r="D14" s="20">
        <f>'DOE25'!L207+'DOE25'!L225+'DOE25'!L243-F14-G14</f>
        <v>2221311.92</v>
      </c>
      <c r="E14" s="243"/>
      <c r="F14" s="255">
        <f>'DOE25'!J207+'DOE25'!J225+'DOE25'!J243</f>
        <v>74944.850000000006</v>
      </c>
      <c r="G14" s="53">
        <f>'DOE25'!K207+'DOE25'!K225+'DOE25'!K243</f>
        <v>7624.75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827307.88</v>
      </c>
      <c r="D15" s="20">
        <f>'DOE25'!L208+'DOE25'!L226+'DOE25'!L244-F15-G15</f>
        <v>827307.88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15918.509999999998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15918.509999999998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121844.68999999999</v>
      </c>
      <c r="D17" s="20">
        <f>'DOE25'!L251-F17-G17</f>
        <v>121844.68999999999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156311.49</v>
      </c>
      <c r="D22" s="243"/>
      <c r="E22" s="243"/>
      <c r="F22" s="255">
        <f>'DOE25'!L255+'DOE25'!L336</f>
        <v>156311.49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1953918.5</v>
      </c>
      <c r="D25" s="243"/>
      <c r="E25" s="243"/>
      <c r="F25" s="258"/>
      <c r="G25" s="256"/>
      <c r="H25" s="257">
        <f>'DOE25'!L260+'DOE25'!L261+'DOE25'!L341+'DOE25'!L342</f>
        <v>1953918.5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292406.87000000005</v>
      </c>
      <c r="D29" s="20">
        <f>'DOE25'!L358+'DOE25'!L359+'DOE25'!L360-'DOE25'!I367-F29-G29</f>
        <v>288989.07000000007</v>
      </c>
      <c r="E29" s="243"/>
      <c r="F29" s="255">
        <f>'DOE25'!J358+'DOE25'!J359+'DOE25'!J360</f>
        <v>2088.41</v>
      </c>
      <c r="G29" s="53">
        <f>'DOE25'!K358+'DOE25'!K359+'DOE25'!K360</f>
        <v>1329.39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577767.26</v>
      </c>
      <c r="D31" s="20">
        <f>'DOE25'!L290+'DOE25'!L309+'DOE25'!L328+'DOE25'!L333+'DOE25'!L334+'DOE25'!L335-F31-G31</f>
        <v>531139.4</v>
      </c>
      <c r="E31" s="243"/>
      <c r="F31" s="255">
        <f>'DOE25'!J290+'DOE25'!J309+'DOE25'!J328+'DOE25'!J333+'DOE25'!J334+'DOE25'!J335</f>
        <v>32053.960000000003</v>
      </c>
      <c r="G31" s="53">
        <f>'DOE25'!K290+'DOE25'!K309+'DOE25'!K328+'DOE25'!K333+'DOE25'!K334+'DOE25'!K335</f>
        <v>14573.9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20863944.589999996</v>
      </c>
      <c r="E33" s="246">
        <f>SUM(E5:E31)</f>
        <v>402108.32000000007</v>
      </c>
      <c r="F33" s="246">
        <f>SUM(F5:F31)</f>
        <v>605409.05999999994</v>
      </c>
      <c r="G33" s="246">
        <f>SUM(G5:G31)</f>
        <v>109273.33999999998</v>
      </c>
      <c r="H33" s="246">
        <f>SUM(H5:H31)</f>
        <v>1953918.5</v>
      </c>
    </row>
    <row r="35" spans="2:8" ht="12" thickBot="1" x14ac:dyDescent="0.25">
      <c r="B35" s="253" t="s">
        <v>846</v>
      </c>
      <c r="D35" s="254">
        <f>E33</f>
        <v>402108.32000000007</v>
      </c>
      <c r="E35" s="249"/>
    </row>
    <row r="36" spans="2:8" ht="12" thickTop="1" x14ac:dyDescent="0.2">
      <c r="B36" t="s">
        <v>814</v>
      </c>
      <c r="D36" s="20">
        <f>D33</f>
        <v>20863944.589999996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48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WINNACUNNET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2049215.38</v>
      </c>
      <c r="D8" s="95">
        <f>'DOE25'!G9</f>
        <v>200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34379.919999999998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353556.53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70648.28</v>
      </c>
      <c r="D11" s="95">
        <f>'DOE25'!G12</f>
        <v>0</v>
      </c>
      <c r="E11" s="95">
        <f>'DOE25'!H12</f>
        <v>64111.9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32455.23</v>
      </c>
      <c r="D12" s="95">
        <f>'DOE25'!G13</f>
        <v>4235.1400000000003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22571.73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12501.66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11653.69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2220924.2299999995</v>
      </c>
      <c r="D18" s="41">
        <f>SUM(D8:D17)</f>
        <v>16936.8</v>
      </c>
      <c r="E18" s="41">
        <f>SUM(E8:E17)</f>
        <v>64111.9</v>
      </c>
      <c r="F18" s="41">
        <f>SUM(F8:F17)</f>
        <v>0</v>
      </c>
      <c r="G18" s="41">
        <f>SUM(G8:G17)</f>
        <v>353556.53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64111.9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6536.4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134578.9</v>
      </c>
      <c r="D23" s="95">
        <f>'DOE25'!G24</f>
        <v>41.99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21889.39</v>
      </c>
      <c r="D27" s="95">
        <f>'DOE25'!G28</f>
        <v>118.7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28539.170000000002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1264577</v>
      </c>
      <c r="D29" s="95">
        <f>'DOE25'!G30</f>
        <v>10239.709999999999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1449584.46</v>
      </c>
      <c r="D31" s="41">
        <f>SUM(D21:D30)</f>
        <v>16936.8</v>
      </c>
      <c r="E31" s="41">
        <f>SUM(E21:E30)</f>
        <v>64111.9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12501.66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11653.69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-12501.66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64533.85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353556.53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54571.44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490580.79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771339.77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353556.53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2220924.23</v>
      </c>
      <c r="D51" s="41">
        <f>D50+D31</f>
        <v>16936.8</v>
      </c>
      <c r="E51" s="41">
        <f>E50+E31</f>
        <v>64111.9</v>
      </c>
      <c r="F51" s="41">
        <f>F50+F31</f>
        <v>0</v>
      </c>
      <c r="G51" s="41">
        <f>G50+G31</f>
        <v>353556.53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16508422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8235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620.54999999999995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12347.99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352662.5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134571.59999999998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143427.14999999997</v>
      </c>
      <c r="D62" s="130">
        <f>SUM(D57:D61)</f>
        <v>352662.5</v>
      </c>
      <c r="E62" s="130">
        <f>SUM(E57:E61)</f>
        <v>0</v>
      </c>
      <c r="F62" s="130">
        <f>SUM(F57:F61)</f>
        <v>0</v>
      </c>
      <c r="G62" s="130">
        <f>SUM(G57:G61)</f>
        <v>12347.99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16651849.15</v>
      </c>
      <c r="D63" s="22">
        <f>D56+D62</f>
        <v>352662.5</v>
      </c>
      <c r="E63" s="22">
        <f>E56+E62</f>
        <v>0</v>
      </c>
      <c r="F63" s="22">
        <f>F56+F62</f>
        <v>0</v>
      </c>
      <c r="G63" s="22">
        <f>G56+G62</f>
        <v>12347.99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509512.94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4524436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38948.79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5072897.7300000004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719839.17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283882.51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14537.6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4097.08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1018259.28</v>
      </c>
      <c r="D78" s="130">
        <f>SUM(D72:D77)</f>
        <v>4097.08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6091157.0100000007</v>
      </c>
      <c r="D81" s="130">
        <f>SUM(D79:D80)+D78+D70</f>
        <v>4097.08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120066.5</v>
      </c>
      <c r="D88" s="95">
        <f>SUM('DOE25'!G153:G161)</f>
        <v>119648.06999999999</v>
      </c>
      <c r="E88" s="95">
        <f>SUM('DOE25'!H153:H161)</f>
        <v>577767.26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120066.5</v>
      </c>
      <c r="D91" s="131">
        <f>SUM(D85:D90)</f>
        <v>119648.06999999999</v>
      </c>
      <c r="E91" s="131">
        <f>SUM(E85:E90)</f>
        <v>577767.26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61716.01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200000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200000</v>
      </c>
      <c r="D103" s="86">
        <f>SUM(D93:D102)</f>
        <v>61716.01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23063072.66</v>
      </c>
      <c r="D104" s="86">
        <f>D63+D81+D91+D103</f>
        <v>538123.66</v>
      </c>
      <c r="E104" s="86">
        <f>E63+E81+E91+E103</f>
        <v>577767.26</v>
      </c>
      <c r="F104" s="86">
        <f>F63+F81+F91+F103</f>
        <v>0</v>
      </c>
      <c r="G104" s="86">
        <f>G63+G81+G103</f>
        <v>12347.99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8744872.0500000007</v>
      </c>
      <c r="D109" s="24" t="s">
        <v>288</v>
      </c>
      <c r="E109" s="95">
        <f>('DOE25'!L276)+('DOE25'!L295)+('DOE25'!L314)</f>
        <v>186408.71000000002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3557327.1900000004</v>
      </c>
      <c r="D110" s="24" t="s">
        <v>288</v>
      </c>
      <c r="E110" s="95">
        <f>('DOE25'!L277)+('DOE25'!L296)+('DOE25'!L315)</f>
        <v>276869.56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161415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852887.85999999987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121844.68999999999</v>
      </c>
      <c r="D114" s="24" t="s">
        <v>288</v>
      </c>
      <c r="E114" s="95">
        <f>+ SUM('DOE25'!L333:L335)</f>
        <v>57112.390000000007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13438346.790000001</v>
      </c>
      <c r="D115" s="86">
        <f>SUM(D109:D114)</f>
        <v>0</v>
      </c>
      <c r="E115" s="86">
        <f>SUM(E109:E114)</f>
        <v>520390.66000000003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1316729.1000000003</v>
      </c>
      <c r="D118" s="24" t="s">
        <v>288</v>
      </c>
      <c r="E118" s="95">
        <f>+('DOE25'!L281)+('DOE25'!L300)+('DOE25'!L319)</f>
        <v>50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1362999.0299999998</v>
      </c>
      <c r="D119" s="24" t="s">
        <v>288</v>
      </c>
      <c r="E119" s="95">
        <f>+('DOE25'!L282)+('DOE25'!L301)+('DOE25'!L320)</f>
        <v>41312.28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634016.57000000007</v>
      </c>
      <c r="D120" s="24" t="s">
        <v>288</v>
      </c>
      <c r="E120" s="95">
        <f>+('DOE25'!L283)+('DOE25'!L302)+('DOE25'!L321)</f>
        <v>16014.32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1046400.2899999999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2303881.52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827307.88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15918.509999999998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543039.32000000007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7507252.8999999994</v>
      </c>
      <c r="D128" s="86">
        <f>SUM(D118:D127)</f>
        <v>543039.32000000007</v>
      </c>
      <c r="E128" s="86">
        <f>SUM(E118:E127)</f>
        <v>57376.6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156311.49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1320000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633918.5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200000</v>
      </c>
    </row>
    <row r="135" spans="1:7" x14ac:dyDescent="0.2">
      <c r="A135" t="s">
        <v>233</v>
      </c>
      <c r="B135" s="32" t="s">
        <v>234</v>
      </c>
      <c r="C135" s="95">
        <f>'DOE25'!L263</f>
        <v>61716.01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12347.99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-12347.99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2171946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200000</v>
      </c>
    </row>
    <row r="145" spans="1:9" ht="12.75" thickTop="1" thickBot="1" x14ac:dyDescent="0.25">
      <c r="A145" s="33" t="s">
        <v>244</v>
      </c>
      <c r="C145" s="86">
        <f>(C115+C128+C144)</f>
        <v>23117545.690000001</v>
      </c>
      <c r="D145" s="86">
        <f>(D115+D128+D144)</f>
        <v>543039.32000000007</v>
      </c>
      <c r="E145" s="86">
        <f>(E115+E128+E144)</f>
        <v>577767.26</v>
      </c>
      <c r="F145" s="86">
        <f>(F115+F128+F144)</f>
        <v>0</v>
      </c>
      <c r="G145" s="86">
        <f>(G115+G128+G144)</f>
        <v>200000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August 2004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August 2024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25484800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14580000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14580000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1953918.5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1953918.5</v>
      </c>
    </row>
    <row r="159" spans="1:9" x14ac:dyDescent="0.2">
      <c r="A159" s="22" t="s">
        <v>35</v>
      </c>
      <c r="B159" s="137">
        <f>'DOE25'!F498</f>
        <v>13260000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13260000</v>
      </c>
    </row>
    <row r="160" spans="1:9" x14ac:dyDescent="0.2">
      <c r="A160" s="22" t="s">
        <v>36</v>
      </c>
      <c r="B160" s="137">
        <f>'DOE25'!F499</f>
        <v>2544446.75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2544446.75</v>
      </c>
    </row>
    <row r="161" spans="1:7" x14ac:dyDescent="0.2">
      <c r="A161" s="22" t="s">
        <v>37</v>
      </c>
      <c r="B161" s="137">
        <f>'DOE25'!F500</f>
        <v>15804446.75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15804446.75</v>
      </c>
    </row>
    <row r="162" spans="1:7" x14ac:dyDescent="0.2">
      <c r="A162" s="22" t="s">
        <v>38</v>
      </c>
      <c r="B162" s="137">
        <f>'DOE25'!F501</f>
        <v>1385000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1385000</v>
      </c>
    </row>
    <row r="163" spans="1:7" x14ac:dyDescent="0.2">
      <c r="A163" s="22" t="s">
        <v>39</v>
      </c>
      <c r="B163" s="137">
        <f>'DOE25'!F502</f>
        <v>586658.5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586658.5</v>
      </c>
    </row>
    <row r="164" spans="1:7" x14ac:dyDescent="0.2">
      <c r="A164" s="22" t="s">
        <v>246</v>
      </c>
      <c r="B164" s="137">
        <f>'DOE25'!F503</f>
        <v>1971658.5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1971658.5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WINNACUNNET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19091</v>
      </c>
    </row>
    <row r="7" spans="1:4" x14ac:dyDescent="0.2">
      <c r="B7" t="s">
        <v>704</v>
      </c>
      <c r="C7" s="179">
        <f>IF('DOE25'!I665+'DOE25'!I670=0,0,ROUND('DOE25'!I672,0))</f>
        <v>19091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8931281</v>
      </c>
      <c r="D10" s="182">
        <f>ROUND((C10/$C$28)*100,1)</f>
        <v>40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3834197</v>
      </c>
      <c r="D11" s="182">
        <f>ROUND((C11/$C$28)*100,1)</f>
        <v>17.2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161415</v>
      </c>
      <c r="D12" s="182">
        <f>ROUND((C12/$C$28)*100,1)</f>
        <v>0.7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852888</v>
      </c>
      <c r="D13" s="182">
        <f>ROUND((C13/$C$28)*100,1)</f>
        <v>3.8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1316779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1404311</v>
      </c>
      <c r="D16" s="182">
        <f t="shared" si="0"/>
        <v>6.3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665949</v>
      </c>
      <c r="D17" s="182">
        <f t="shared" si="0"/>
        <v>3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1046400</v>
      </c>
      <c r="D18" s="182">
        <f t="shared" si="0"/>
        <v>4.7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2303882</v>
      </c>
      <c r="D20" s="182">
        <f t="shared" si="0"/>
        <v>10.3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827308</v>
      </c>
      <c r="D21" s="182">
        <f t="shared" si="0"/>
        <v>3.7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178957</v>
      </c>
      <c r="D24" s="182">
        <f t="shared" si="0"/>
        <v>0.8</v>
      </c>
    </row>
    <row r="25" spans="1:4" x14ac:dyDescent="0.2">
      <c r="A25">
        <v>5120</v>
      </c>
      <c r="B25" t="s">
        <v>719</v>
      </c>
      <c r="C25" s="179">
        <f>ROUND('DOE25'!L261+'DOE25'!L342,0)</f>
        <v>633919</v>
      </c>
      <c r="D25" s="182">
        <f t="shared" si="0"/>
        <v>2.8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190376.5</v>
      </c>
      <c r="D27" s="182">
        <f t="shared" si="0"/>
        <v>0.9</v>
      </c>
    </row>
    <row r="28" spans="1:4" x14ac:dyDescent="0.2">
      <c r="B28" s="187" t="s">
        <v>722</v>
      </c>
      <c r="C28" s="180">
        <f>SUM(C10:C27)</f>
        <v>22347662.5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156311</v>
      </c>
    </row>
    <row r="30" spans="1:4" x14ac:dyDescent="0.2">
      <c r="B30" s="187" t="s">
        <v>728</v>
      </c>
      <c r="C30" s="180">
        <f>SUM(C28:C29)</f>
        <v>22503973.5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1320000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16508422</v>
      </c>
      <c r="D35" s="182">
        <f t="shared" ref="D35:D40" si="1">ROUND((C35/$C$41)*100,1)</f>
        <v>70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155775.13999999687</v>
      </c>
      <c r="D36" s="182">
        <f t="shared" si="1"/>
        <v>0.7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5033949</v>
      </c>
      <c r="D37" s="182">
        <f t="shared" si="1"/>
        <v>21.4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1061305</v>
      </c>
      <c r="D38" s="182">
        <f t="shared" si="1"/>
        <v>4.5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817482</v>
      </c>
      <c r="D39" s="182">
        <f t="shared" si="1"/>
        <v>3.5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23576933.139999997</v>
      </c>
      <c r="D41" s="184">
        <f>SUM(D35:D40)</f>
        <v>100.1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WINNACUNNET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2017-08-31T12:31:44Z</cp:lastPrinted>
  <dcterms:created xsi:type="dcterms:W3CDTF">1997-12-04T19:04:30Z</dcterms:created>
  <dcterms:modified xsi:type="dcterms:W3CDTF">2017-11-29T18:09:29Z</dcterms:modified>
</cp:coreProperties>
</file>