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4000" windowHeight="97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E8" i="13" s="1"/>
  <c r="C8" i="13" s="1"/>
  <c r="D39" i="13"/>
  <c r="F13" i="13"/>
  <c r="G13" i="13"/>
  <c r="L206" i="1"/>
  <c r="L224" i="1"/>
  <c r="L242" i="1"/>
  <c r="F16" i="13"/>
  <c r="G16" i="13"/>
  <c r="L209" i="1"/>
  <c r="L227" i="1"/>
  <c r="C125" i="2" s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C110" i="2" s="1"/>
  <c r="L235" i="1"/>
  <c r="C111" i="2" s="1"/>
  <c r="L236" i="1"/>
  <c r="F6" i="13"/>
  <c r="G6" i="13"/>
  <c r="L202" i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C18" i="10" s="1"/>
  <c r="F14" i="13"/>
  <c r="G14" i="13"/>
  <c r="L207" i="1"/>
  <c r="L225" i="1"/>
  <c r="C123" i="2" s="1"/>
  <c r="L243" i="1"/>
  <c r="F15" i="13"/>
  <c r="G15" i="13"/>
  <c r="L208" i="1"/>
  <c r="C124" i="2" s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3" i="1" s="1"/>
  <c r="C138" i="2" s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L250" i="1"/>
  <c r="L332" i="1"/>
  <c r="L254" i="1"/>
  <c r="L268" i="1"/>
  <c r="L269" i="1"/>
  <c r="L349" i="1"/>
  <c r="L350" i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51" i="1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K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D18" i="2" s="1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E111" i="2"/>
  <c r="C112" i="2"/>
  <c r="E112" i="2"/>
  <c r="C113" i="2"/>
  <c r="E113" i="2"/>
  <c r="C114" i="2"/>
  <c r="E114" i="2"/>
  <c r="D115" i="2"/>
  <c r="F115" i="2"/>
  <c r="G115" i="2"/>
  <c r="E118" i="2"/>
  <c r="E119" i="2"/>
  <c r="E120" i="2"/>
  <c r="E121" i="2"/>
  <c r="E122" i="2"/>
  <c r="E123" i="2"/>
  <c r="E124" i="2"/>
  <c r="E125" i="2"/>
  <c r="F128" i="2"/>
  <c r="G128" i="2"/>
  <c r="C130" i="2"/>
  <c r="E130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G408" i="1" s="1"/>
  <c r="H645" i="1" s="1"/>
  <c r="H393" i="1"/>
  <c r="I393" i="1"/>
  <c r="I408" i="1" s="1"/>
  <c r="F401" i="1"/>
  <c r="G401" i="1"/>
  <c r="H401" i="1"/>
  <c r="I401" i="1"/>
  <c r="F407" i="1"/>
  <c r="G407" i="1"/>
  <c r="H407" i="1"/>
  <c r="I407" i="1"/>
  <c r="F408" i="1"/>
  <c r="H408" i="1"/>
  <c r="H644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G452" i="1"/>
  <c r="H452" i="1"/>
  <c r="I452" i="1"/>
  <c r="F460" i="1"/>
  <c r="G460" i="1"/>
  <c r="H460" i="1"/>
  <c r="F461" i="1"/>
  <c r="G461" i="1"/>
  <c r="F470" i="1"/>
  <c r="G470" i="1"/>
  <c r="H470" i="1"/>
  <c r="I470" i="1"/>
  <c r="J470" i="1"/>
  <c r="F474" i="1"/>
  <c r="G474" i="1"/>
  <c r="G476" i="1" s="1"/>
  <c r="H623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H571" i="1" s="1"/>
  <c r="I560" i="1"/>
  <c r="J560" i="1"/>
  <c r="K560" i="1"/>
  <c r="K571" i="1" s="1"/>
  <c r="L562" i="1"/>
  <c r="L563" i="1"/>
  <c r="L564" i="1"/>
  <c r="F565" i="1"/>
  <c r="F571" i="1" s="1"/>
  <c r="G565" i="1"/>
  <c r="H565" i="1"/>
  <c r="I565" i="1"/>
  <c r="J565" i="1"/>
  <c r="J571" i="1" s="1"/>
  <c r="K565" i="1"/>
  <c r="L567" i="1"/>
  <c r="L568" i="1"/>
  <c r="L569" i="1"/>
  <c r="L570" i="1" s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H640" i="1"/>
  <c r="G643" i="1"/>
  <c r="J643" i="1" s="1"/>
  <c r="H643" i="1"/>
  <c r="G644" i="1"/>
  <c r="G650" i="1"/>
  <c r="G651" i="1"/>
  <c r="G652" i="1"/>
  <c r="H652" i="1"/>
  <c r="G653" i="1"/>
  <c r="H653" i="1"/>
  <c r="G654" i="1"/>
  <c r="H654" i="1"/>
  <c r="H655" i="1"/>
  <c r="J655" i="1" s="1"/>
  <c r="C26" i="10"/>
  <c r="L328" i="1"/>
  <c r="A31" i="12"/>
  <c r="C70" i="2"/>
  <c r="D18" i="13"/>
  <c r="C18" i="13" s="1"/>
  <c r="D17" i="13"/>
  <c r="C17" i="13" s="1"/>
  <c r="C91" i="2"/>
  <c r="F78" i="2"/>
  <c r="F81" i="2" s="1"/>
  <c r="D50" i="2"/>
  <c r="F18" i="2"/>
  <c r="E103" i="2"/>
  <c r="D91" i="2"/>
  <c r="E62" i="2"/>
  <c r="E63" i="2" s="1"/>
  <c r="E31" i="2"/>
  <c r="G62" i="2"/>
  <c r="D19" i="13"/>
  <c r="C19" i="13" s="1"/>
  <c r="E78" i="2"/>
  <c r="J639" i="1"/>
  <c r="L433" i="1"/>
  <c r="D81" i="2"/>
  <c r="I169" i="1"/>
  <c r="I476" i="1"/>
  <c r="H625" i="1" s="1"/>
  <c r="J625" i="1" s="1"/>
  <c r="J140" i="1"/>
  <c r="I552" i="1"/>
  <c r="G22" i="2"/>
  <c r="H552" i="1"/>
  <c r="C29" i="10"/>
  <c r="H140" i="1"/>
  <c r="L401" i="1"/>
  <c r="C139" i="2" s="1"/>
  <c r="F22" i="13"/>
  <c r="G192" i="1"/>
  <c r="H192" i="1"/>
  <c r="C35" i="10"/>
  <c r="E16" i="13"/>
  <c r="C16" i="13" s="1"/>
  <c r="J636" i="1"/>
  <c r="G36" i="2"/>
  <c r="C22" i="13"/>
  <c r="I460" i="1" l="1"/>
  <c r="J640" i="1"/>
  <c r="I446" i="1"/>
  <c r="G642" i="1" s="1"/>
  <c r="A40" i="12"/>
  <c r="A13" i="12"/>
  <c r="J644" i="1"/>
  <c r="K549" i="1"/>
  <c r="L534" i="1"/>
  <c r="K551" i="1"/>
  <c r="G552" i="1"/>
  <c r="L529" i="1"/>
  <c r="J545" i="1"/>
  <c r="H545" i="1"/>
  <c r="G545" i="1"/>
  <c r="F552" i="1"/>
  <c r="L524" i="1"/>
  <c r="L565" i="1"/>
  <c r="K598" i="1"/>
  <c r="G647" i="1" s="1"/>
  <c r="J651" i="1"/>
  <c r="G164" i="2"/>
  <c r="K503" i="1"/>
  <c r="G161" i="2"/>
  <c r="G157" i="2"/>
  <c r="G156" i="2"/>
  <c r="H25" i="13"/>
  <c r="C25" i="13" s="1"/>
  <c r="H33" i="13"/>
  <c r="H52" i="1"/>
  <c r="H619" i="1" s="1"/>
  <c r="J619" i="1" s="1"/>
  <c r="E81" i="2"/>
  <c r="L560" i="1"/>
  <c r="L571" i="1" s="1"/>
  <c r="H476" i="1"/>
  <c r="H624" i="1" s="1"/>
  <c r="E134" i="2"/>
  <c r="C19" i="10"/>
  <c r="G662" i="1"/>
  <c r="K338" i="1"/>
  <c r="K352" i="1" s="1"/>
  <c r="L309" i="1"/>
  <c r="J338" i="1"/>
  <c r="J352" i="1" s="1"/>
  <c r="H338" i="1"/>
  <c r="H352" i="1" s="1"/>
  <c r="G338" i="1"/>
  <c r="G352" i="1" s="1"/>
  <c r="F338" i="1"/>
  <c r="F352" i="1" s="1"/>
  <c r="E128" i="2"/>
  <c r="L290" i="1"/>
  <c r="E115" i="2"/>
  <c r="F476" i="1"/>
  <c r="H622" i="1" s="1"/>
  <c r="J622" i="1" s="1"/>
  <c r="F192" i="1"/>
  <c r="C62" i="2"/>
  <c r="C121" i="2"/>
  <c r="C120" i="2"/>
  <c r="C119" i="2"/>
  <c r="C15" i="10"/>
  <c r="D5" i="13"/>
  <c r="C5" i="13" s="1"/>
  <c r="C12" i="10"/>
  <c r="L247" i="1"/>
  <c r="H660" i="1" s="1"/>
  <c r="D12" i="13"/>
  <c r="C12" i="13" s="1"/>
  <c r="C17" i="10"/>
  <c r="C16" i="10"/>
  <c r="C118" i="2"/>
  <c r="H257" i="1"/>
  <c r="H271" i="1" s="1"/>
  <c r="L229" i="1"/>
  <c r="C13" i="10"/>
  <c r="J257" i="1"/>
  <c r="J271" i="1" s="1"/>
  <c r="I257" i="1"/>
  <c r="I271" i="1" s="1"/>
  <c r="F257" i="1"/>
  <c r="F271" i="1" s="1"/>
  <c r="C10" i="10"/>
  <c r="G649" i="1"/>
  <c r="J649" i="1" s="1"/>
  <c r="D15" i="13"/>
  <c r="C15" i="13" s="1"/>
  <c r="H647" i="1"/>
  <c r="F662" i="1"/>
  <c r="C21" i="10"/>
  <c r="D14" i="13"/>
  <c r="C14" i="13" s="1"/>
  <c r="C20" i="10"/>
  <c r="C122" i="2"/>
  <c r="E13" i="13"/>
  <c r="C13" i="13" s="1"/>
  <c r="D6" i="13"/>
  <c r="C6" i="13" s="1"/>
  <c r="K257" i="1"/>
  <c r="K271" i="1" s="1"/>
  <c r="C11" i="10"/>
  <c r="C109" i="2"/>
  <c r="C115" i="2" s="1"/>
  <c r="G257" i="1"/>
  <c r="G271" i="1" s="1"/>
  <c r="L211" i="1"/>
  <c r="J617" i="1"/>
  <c r="C18" i="2"/>
  <c r="I461" i="1"/>
  <c r="H642" i="1" s="1"/>
  <c r="J476" i="1"/>
  <c r="H626" i="1" s="1"/>
  <c r="H461" i="1"/>
  <c r="H641" i="1" s="1"/>
  <c r="J641" i="1" s="1"/>
  <c r="L419" i="1"/>
  <c r="L434" i="1" s="1"/>
  <c r="G638" i="1" s="1"/>
  <c r="J638" i="1" s="1"/>
  <c r="G645" i="1"/>
  <c r="J645" i="1" s="1"/>
  <c r="J623" i="1"/>
  <c r="J634" i="1"/>
  <c r="D127" i="2"/>
  <c r="D128" i="2" s="1"/>
  <c r="D145" i="2" s="1"/>
  <c r="L362" i="1"/>
  <c r="C27" i="10" s="1"/>
  <c r="D29" i="13"/>
  <c r="C29" i="13" s="1"/>
  <c r="F661" i="1"/>
  <c r="G661" i="1"/>
  <c r="H661" i="1"/>
  <c r="C81" i="2"/>
  <c r="F112" i="1"/>
  <c r="C36" i="10" s="1"/>
  <c r="C63" i="2"/>
  <c r="G624" i="1"/>
  <c r="J624" i="1" s="1"/>
  <c r="K500" i="1"/>
  <c r="G81" i="2"/>
  <c r="G112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G63" i="2"/>
  <c r="J618" i="1"/>
  <c r="G42" i="2"/>
  <c r="G50" i="2" s="1"/>
  <c r="J51" i="1"/>
  <c r="G16" i="2"/>
  <c r="G18" i="2" s="1"/>
  <c r="J19" i="1"/>
  <c r="G621" i="1" s="1"/>
  <c r="F545" i="1"/>
  <c r="H434" i="1"/>
  <c r="J620" i="1"/>
  <c r="D103" i="2"/>
  <c r="D104" i="2" s="1"/>
  <c r="I140" i="1"/>
  <c r="I193" i="1" s="1"/>
  <c r="G630" i="1" s="1"/>
  <c r="J630" i="1" s="1"/>
  <c r="A22" i="12"/>
  <c r="J652" i="1"/>
  <c r="G571" i="1"/>
  <c r="I434" i="1"/>
  <c r="G434" i="1"/>
  <c r="E104" i="2"/>
  <c r="I663" i="1"/>
  <c r="J647" i="1" l="1"/>
  <c r="J642" i="1"/>
  <c r="K552" i="1"/>
  <c r="L545" i="1"/>
  <c r="I662" i="1"/>
  <c r="G660" i="1"/>
  <c r="G664" i="1" s="1"/>
  <c r="G667" i="1" s="1"/>
  <c r="L338" i="1"/>
  <c r="L352" i="1" s="1"/>
  <c r="G633" i="1" s="1"/>
  <c r="J633" i="1" s="1"/>
  <c r="E145" i="2"/>
  <c r="D31" i="13"/>
  <c r="C31" i="13" s="1"/>
  <c r="F33" i="13"/>
  <c r="E33" i="13"/>
  <c r="D35" i="13" s="1"/>
  <c r="C128" i="2"/>
  <c r="C145" i="2" s="1"/>
  <c r="H648" i="1"/>
  <c r="J648" i="1" s="1"/>
  <c r="L257" i="1"/>
  <c r="L271" i="1" s="1"/>
  <c r="G632" i="1" s="1"/>
  <c r="J632" i="1" s="1"/>
  <c r="C28" i="10"/>
  <c r="D23" i="10" s="1"/>
  <c r="F660" i="1"/>
  <c r="F664" i="1" s="1"/>
  <c r="F667" i="1" s="1"/>
  <c r="G51" i="2"/>
  <c r="H646" i="1"/>
  <c r="J646" i="1" s="1"/>
  <c r="G104" i="2"/>
  <c r="G635" i="1"/>
  <c r="J635" i="1" s="1"/>
  <c r="I661" i="1"/>
  <c r="H664" i="1"/>
  <c r="H667" i="1" s="1"/>
  <c r="C104" i="2"/>
  <c r="F193" i="1"/>
  <c r="G627" i="1" s="1"/>
  <c r="J627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D10" i="10"/>
  <c r="D15" i="10"/>
  <c r="D16" i="10"/>
  <c r="D20" i="10"/>
  <c r="D19" i="10"/>
  <c r="D18" i="10"/>
  <c r="C30" i="10"/>
  <c r="D17" i="10"/>
  <c r="D27" i="10"/>
  <c r="D26" i="10"/>
  <c r="D25" i="10"/>
  <c r="I660" i="1"/>
  <c r="I664" i="1" s="1"/>
  <c r="I672" i="1" s="1"/>
  <c r="C7" i="10" s="1"/>
  <c r="D13" i="10"/>
  <c r="D11" i="10"/>
  <c r="D21" i="10"/>
  <c r="D22" i="10"/>
  <c r="D12" i="10"/>
  <c r="D24" i="10"/>
  <c r="F672" i="1"/>
  <c r="C4" i="10" s="1"/>
  <c r="G672" i="1"/>
  <c r="C5" i="10" s="1"/>
  <c r="H672" i="1"/>
  <c r="C6" i="10" s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<sst xmlns="http://schemas.openxmlformats.org/spreadsheetml/2006/main" count="3959" uniqueCount="917">
  <si>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</si>
  <si>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</si>
  <si>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</si>
  <si>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</si>
  <si>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</si>
  <si>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</si>
  <si>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</si>
  <si>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</si>
  <si>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</si>
  <si>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</si>
  <si>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</si>
  <si>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</si>
  <si>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</si>
  <si>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</si>
  <si>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</si>
  <si>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</si>
  <si>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</si>
  <si>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</si>
  <si>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</si>
  <si>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</si>
  <si>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</si>
  <si>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</si>
  <si>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</si>
  <si>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</si>
  <si>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</si>
  <si>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</si>
  <si>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</si>
  <si>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</si>
  <si>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</si>
  <si>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</si>
  <si>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</si>
  <si>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</si>
  <si>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</si>
  <si>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</si>
  <si>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</si>
  <si>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</si>
  <si>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</si>
  <si>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</si>
  <si>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</si>
  <si>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</si>
  <si>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</si>
  <si>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</si>
  <si>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</si>
  <si>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</si>
  <si>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</si>
  <si>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</si>
  <si>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</si>
  <si>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</si>
  <si>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</si>
  <si>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</si>
  <si>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</si>
  <si>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</si>
  <si>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</si>
  <si>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</si>
  <si>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</si>
  <si>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</si>
  <si>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</si>
  <si>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</si>
  <si>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</si>
  <si>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</si>
  <si>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</si>
  <si>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</si>
  <si>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</si>
  <si>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</si>
  <si>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</si>
  <si>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</si>
  <si>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</si>
  <si>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</si>
  <si>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</si>
  <si>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</si>
  <si>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</si>
  <si>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</si>
  <si>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</si>
  <si>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</si>
  <si>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</si>
  <si>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</si>
  <si>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</si>
  <si>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</si>
  <si>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</si>
  <si>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</si>
  <si>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</si>
  <si>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</si>
  <si>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</si>
  <si>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</si>
  <si>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</si>
  <si>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</si>
  <si>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</si>
  <si>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</si>
  <si>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</si>
  <si>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</si>
  <si>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</si>
  <si>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</si>
  <si>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</si>
  <si>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</si>
  <si>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</si>
  <si>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</si>
  <si>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</si>
  <si>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</si>
  <si>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</si>
  <si>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</si>
  <si>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</si>
  <si>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</si>
  <si>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</si>
  <si>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</si>
  <si>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</si>
  <si>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</si>
  <si>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</si>
  <si>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</si>
  <si>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</si>
  <si>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</si>
  <si>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</si>
  <si>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</si>
  <si>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</si>
  <si>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</si>
  <si>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</si>
  <si>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</si>
  <si>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</si>
  <si>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</si>
  <si>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</si>
  <si>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</si>
  <si>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</si>
  <si>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</si>
  <si>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</si>
  <si>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</si>
  <si>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</si>
  <si>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</si>
  <si>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</si>
  <si>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</si>
  <si>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</si>
  <si>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</si>
  <si>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</si>
  <si>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</si>
  <si>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</si>
  <si>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</si>
  <si>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</si>
  <si>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</si>
  <si>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</si>
  <si>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</si>
  <si>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</si>
  <si>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</si>
  <si>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</si>
  <si>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</si>
  <si>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</si>
  <si>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</si>
  <si>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</si>
  <si>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</si>
  <si>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</si>
  <si>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</si>
  <si>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</si>
  <si>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</si>
  <si>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</si>
  <si>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</si>
  <si>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</si>
  <si>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</si>
  <si>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</si>
  <si>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</si>
  <si>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</si>
  <si>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</si>
  <si>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</si>
  <si>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</si>
  <si>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</si>
  <si>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</si>
  <si>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</si>
  <si>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</si>
  <si>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</si>
  <si>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</si>
  <si>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</si>
  <si>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</si>
  <si>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</si>
  <si>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</si>
  <si>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</si>
  <si>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</si>
  <si>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</si>
  <si>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</si>
  <si>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</si>
  <si>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</si>
  <si>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</si>
  <si>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</si>
  <si>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</si>
  <si>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</si>
  <si>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</si>
  <si>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</si>
  <si>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</si>
  <si>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</si>
  <si>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</si>
  <si>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</si>
  <si>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</si>
  <si>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</si>
  <si>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</si>
  <si>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</si>
  <si>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</si>
  <si>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</si>
  <si>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</si>
  <si>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</si>
  <si>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</si>
  <si>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</si>
  <si>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</si>
  <si>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</si>
  <si>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</si>
  <si>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</si>
  <si>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</si>
  <si>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</si>
  <si>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</si>
  <si>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</si>
  <si>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</si>
  <si>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</si>
  <si>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</si>
  <si>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</si>
  <si>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</si>
  <si>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</si>
  <si>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</si>
  <si>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</si>
  <si>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</si>
  <si>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</si>
  <si>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</si>
  <si>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</si>
  <si>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</si>
  <si>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</si>
  <si>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</si>
  <si>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</si>
  <si>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</si>
  <si>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</si>
  <si>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</si>
  <si>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</si>
  <si>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</si>
  <si>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</si>
  <si>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</si>
  <si>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</si>
  <si>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</si>
  <si>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</si>
  <si>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</si>
  <si>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</si>
  <si>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</si>
  <si>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</si>
  <si>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</si>
  <si>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</si>
  <si>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</si>
  <si>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</si>
  <si>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</si>
  <si>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</si>
  <si>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</si>
  <si>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</si>
  <si>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</si>
  <si>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</si>
  <si>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</si>
  <si>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</si>
  <si>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</si>
  <si>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</si>
  <si>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</si>
  <si>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</si>
  <si>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</si>
  <si>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</si>
  <si>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</si>
  <si>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</si>
  <si>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</si>
  <si>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</si>
  <si>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</si>
  <si>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</si>
  <si>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</si>
  <si>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</si>
  <si>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</si>
  <si>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</si>
  <si>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</si>
  <si>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</si>
  <si>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</si>
  <si>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</si>
  <si>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</si>
  <si>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</si>
  <si>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</si>
  <si>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</si>
  <si>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</si>
  <si>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</si>
  <si>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</si>
  <si>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</si>
  <si>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</si>
  <si>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</si>
  <si>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</si>
  <si>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</si>
  <si>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</si>
  <si>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</si>
  <si>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</si>
  <si>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</si>
  <si>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</si>
  <si>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</si>
  <si>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</si>
  <si>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</si>
  <si>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</si>
  <si>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</si>
  <si>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</si>
  <si>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</si>
  <si>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</si>
  <si>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</si>
  <si>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</si>
  <si>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</si>
  <si>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</si>
  <si>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</si>
  <si>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</si>
  <si>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</si>
  <si>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</si>
  <si>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</si>
  <si>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</si>
  <si>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</si>
  <si>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</si>
  <si>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</si>
  <si>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</si>
  <si>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</si>
  <si>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</si>
  <si>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</si>
  <si>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</si>
  <si>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</si>
  <si>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</si>
  <si>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</si>
  <si>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</si>
  <si>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</si>
  <si>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</si>
  <si>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</si>
  <si>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</si>
  <si>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</si>
  <si>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</si>
  <si>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</si>
  <si>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</si>
  <si>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</si>
  <si>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</si>
  <si>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</si>
  <si>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</si>
  <si>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</si>
  <si>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</si>
  <si>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</si>
  <si>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</si>
  <si>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</si>
  <si>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</si>
  <si>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</si>
  <si>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</si>
  <si>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</si>
  <si>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</si>
  <si>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</si>
  <si>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</si>
  <si>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</si>
  <si>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</si>
  <si>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</si>
  <si>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</si>
  <si>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</si>
  <si>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</si>
  <si>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</si>
  <si>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</si>
  <si>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</si>
  <si>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</si>
  <si>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</si>
  <si>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</si>
  <si>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</si>
  <si>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</si>
  <si>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</si>
  <si>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</si>
  <si>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</si>
  <si>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</si>
  <si>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</si>
  <si>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</si>
  <si>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</si>
  <si>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</si>
  <si>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</si>
  <si>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</si>
  <si>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</si>
  <si>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</si>
  <si>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</si>
  <si>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</si>
  <si>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</si>
  <si>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</si>
  <si>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</si>
  <si>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</si>
  <si>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</si>
  <si>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</si>
  <si>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</si>
  <si>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</si>
  <si>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</si>
  <si>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</si>
  <si>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</si>
  <si>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</si>
  <si>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</si>
  <si>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</si>
  <si>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</si>
  <si>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</si>
  <si>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</si>
  <si>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</si>
  <si>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</si>
  <si>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</si>
  <si>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</si>
  <si>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</si>
  <si>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</si>
  <si>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</si>
  <si>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</si>
  <si>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</si>
  <si>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</si>
  <si>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</si>
  <si>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</si>
  <si>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</si>
  <si>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</si>
  <si>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</si>
  <si>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</si>
  <si>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</si>
  <si>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</si>
  <si>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</si>
  <si>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</si>
  <si>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</si>
  <si>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</si>
  <si>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</si>
  <si>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</si>
  <si>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</si>
  <si>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</si>
  <si>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</si>
  <si>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</si>
  <si>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</si>
  <si>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</si>
  <si>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</si>
  <si>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</si>
  <si>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</si>
  <si>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</si>
  <si>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</si>
  <si>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</si>
  <si>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</si>
  <si>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</si>
  <si>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</si>
  <si>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</si>
  <si>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</si>
  <si>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</si>
  <si>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</si>
  <si>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</si>
  <si>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</si>
  <si>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</si>
  <si>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</si>
  <si>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</si>
  <si>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</si>
  <si>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</si>
  <si>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</si>
  <si>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</si>
  <si>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</si>
  <si>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</si>
  <si>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</si>
  <si>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</si>
  <si>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</si>
  <si>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</si>
  <si>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</si>
  <si>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</si>
  <si>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</si>
  <si>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</si>
  <si>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</si>
  <si>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</si>
  <si>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</si>
  <si>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</si>
  <si>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</si>
  <si>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</si>
  <si>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</si>
  <si>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</si>
  <si>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</si>
  <si>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</si>
  <si>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</si>
  <si>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</si>
  <si>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</si>
  <si>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</si>
  <si>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</si>
  <si>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</si>
  <si>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</si>
  <si>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</si>
  <si>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</si>
  <si>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</si>
  <si>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</si>
  <si>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</si>
  <si>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</si>
  <si>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</si>
  <si>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</si>
  <si>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</si>
  <si>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</si>
  <si>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</si>
  <si>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</si>
  <si>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</si>
  <si>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</si>
  <si>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</si>
  <si>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</si>
  <si>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</si>
  <si>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</si>
  <si>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</si>
  <si>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</si>
  <si>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</si>
  <si>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</si>
  <si>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</si>
  <si>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</si>
  <si>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</si>
  <si>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</si>
  <si>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</si>
  <si>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</si>
  <si>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</si>
  <si>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</si>
  <si>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</si>
  <si>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</si>
  <si>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</si>
  <si>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</si>
  <si>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</si>
  <si>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</si>
  <si>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</si>
  <si>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</si>
  <si>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</si>
  <si>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</si>
  <si>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</si>
  <si>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</si>
  <si>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</si>
  <si>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</si>
  <si>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</si>
  <si>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</si>
  <si>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</si>
  <si>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</si>
  <si>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</si>
  <si>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</si>
  <si>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</si>
  <si>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</si>
  <si>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</si>
  <si>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</si>
  <si>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</si>
  <si>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</si>
  <si>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</si>
  <si>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</si>
  <si>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</si>
  <si>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</si>
  <si>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</si>
  <si>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</si>
  <si>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</si>
  <si>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</si>
  <si>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</si>
  <si>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</si>
  <si>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</si>
  <si>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</si>
  <si>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</si>
  <si>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</si>
  <si>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</si>
  <si>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</si>
  <si>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</si>
  <si>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</si>
  <si>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</si>
  <si>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</si>
  <si>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</si>
  <si>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</si>
  <si>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</si>
  <si>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</si>
  <si>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</si>
  <si>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</si>
  <si>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</si>
  <si>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</si>
  <si>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</si>
  <si>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</si>
  <si>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</si>
  <si>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</si>
  <si>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</si>
  <si>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</si>
  <si>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</si>
  <si>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</si>
  <si>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</si>
  <si>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</si>
  <si>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</si>
  <si>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</si>
  <si>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</si>
  <si>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</si>
  <si>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</si>
  <si>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</si>
  <si>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</si>
  <si>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</si>
  <si>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</si>
  <si>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</si>
  <si>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</si>
  <si>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</si>
  <si>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</si>
  <si>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</si>
  <si>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</si>
  <si>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</si>
  <si>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</si>
  <si>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</si>
  <si>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</si>
  <si>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</si>
  <si>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</si>
  <si>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</si>
  <si>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</si>
  <si>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</si>
  <si>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</si>
  <si>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</si>
  <si>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</si>
  <si>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</si>
  <si>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</si>
  <si>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</si>
  <si>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</si>
  <si>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</si>
  <si>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</si>
  <si>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</si>
  <si>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</si>
  <si>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</si>
  <si>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</si>
  <si>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</si>
  <si>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</si>
  <si>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</si>
  <si>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</si>
  <si>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</si>
  <si>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</si>
  <si>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</si>
  <si>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</si>
  <si>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</si>
  <si>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</si>
  <si>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</si>
  <si>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</si>
  <si>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</si>
  <si>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</si>
  <si>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</si>
  <si>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</si>
  <si>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</si>
  <si>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</si>
  <si>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</si>
  <si>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</si>
  <si>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</si>
  <si>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</si>
  <si>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</si>
  <si>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</si>
  <si>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</si>
  <si>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</si>
  <si>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</si>
  <si>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</si>
  <si>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</si>
  <si>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</si>
  <si>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</si>
  <si>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</si>
  <si>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</si>
  <si>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</si>
  <si>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</si>
  <si>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</si>
  <si>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</si>
  <si>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</si>
  <si>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</si>
  <si>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</si>
  <si>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</si>
  <si>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</si>
  <si>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</si>
  <si>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</si>
  <si>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</si>
  <si>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</si>
  <si>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</si>
  <si>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</si>
  <si>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</si>
  <si>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</si>
  <si>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</si>
  <si>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</si>
  <si>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</si>
  <si>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</si>
  <si>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</si>
  <si>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</si>
  <si>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</si>
  <si>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</si>
  <si>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</si>
  <si>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</si>
  <si>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</si>
  <si>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</si>
  <si>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</si>
  <si>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</si>
  <si>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</si>
  <si>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</si>
  <si>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</si>
  <si>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</si>
  <si>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</si>
  <si>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</si>
  <si>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</si>
  <si>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</si>
  <si>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</si>
  <si>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</si>
  <si>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</si>
  <si>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</si>
  <si>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</si>
  <si>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</si>
  <si>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</si>
  <si>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</si>
  <si>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</si>
  <si>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</si>
  <si>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</si>
  <si>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</si>
  <si>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</si>
  <si>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</si>
  <si>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</si>
  <si>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</si>
  <si>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</si>
  <si>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</si>
  <si>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</si>
  <si>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</si>
  <si>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</si>
  <si>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</si>
  <si>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</si>
  <si>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</si>
  <si>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</si>
  <si>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</si>
  <si>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</si>
  <si>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</si>
  <si>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</si>
  <si>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</si>
  <si>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</si>
  <si>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</si>
  <si>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</si>
  <si>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</si>
  <si>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</si>
  <si>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</si>
  <si>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</si>
  <si>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</si>
  <si>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</si>
  <si>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</si>
  <si>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</si>
  <si>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</si>
  <si>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</si>
  <si>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</si>
  <si>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</si>
  <si>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</si>
  <si>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</si>
  <si>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</si>
  <si>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</si>
  <si>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</si>
  <si>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</si>
  <si>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</si>
  <si>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</si>
  <si>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</si>
  <si>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</si>
  <si>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</si>
  <si>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</si>
  <si>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</si>
  <si>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</si>
  <si>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</si>
  <si>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</si>
  <si>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</si>
  <si>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</si>
  <si>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</si>
  <si>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</si>
  <si>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</si>
  <si>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</si>
  <si>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</si>
  <si>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</si>
  <si>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</si>
  <si>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</si>
  <si>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</si>
  <si>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</si>
  <si>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</si>
  <si>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</si>
  <si>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</si>
  <si>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</si>
  <si>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</si>
  <si>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</si>
  <si>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</si>
  <si>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</si>
  <si>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</si>
  <si>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</si>
  <si>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</si>
  <si>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</si>
  <si>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</si>
  <si>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</si>
  <si>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</si>
  <si>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</si>
  <si>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</si>
  <si>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</si>
  <si>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</si>
  <si>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</si>
  <si>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</si>
  <si>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</si>
  <si>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</si>
  <si>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</si>
  <si>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</si>
  <si>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</si>
  <si>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</si>
  <si>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</si>
  <si>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</si>
  <si>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</si>
  <si>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</si>
  <si>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</si>
  <si>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</si>
  <si>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</si>
  <si>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</si>
  <si>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</si>
  <si>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</si>
  <si>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</si>
  <si>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</si>
  <si>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</si>
  <si>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</si>
  <si>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</si>
  <si>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</si>
  <si>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</si>
  <si>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</si>
  <si>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</si>
  <si>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</si>
  <si>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</si>
  <si>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</si>
  <si>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</si>
  <si>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</si>
  <si>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</si>
  <si>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</si>
  <si>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</si>
  <si>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</si>
  <si>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</si>
  <si>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</si>
  <si>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</si>
  <si>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</si>
  <si>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</si>
  <si>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</si>
  <si>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</si>
  <si>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</si>
  <si>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</si>
  <si>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</si>
  <si>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</si>
  <si>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</si>
  <si>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</si>
  <si>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</si>
  <si>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</si>
  <si>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</si>
  <si>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</si>
  <si>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</si>
  <si>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</si>
  <si>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</si>
  <si>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</si>
  <si>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</si>
  <si>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</si>
  <si>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</si>
  <si>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</si>
  <si>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</si>
  <si>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</si>
  <si>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</si>
  <si>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</si>
  <si>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</si>
  <si>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</si>
  <si>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</si>
  <si>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</si>
  <si>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</si>
  <si>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</si>
  <si>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</si>
  <si>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</si>
  <si>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</si>
  <si>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</si>
  <si>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</si>
  <si>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</si>
  <si>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</si>
  <si>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</si>
  <si>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</si>
  <si>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</si>
  <si>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</si>
  <si>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</si>
  <si>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</si>
  <si>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</si>
  <si>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</si>
  <si>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</si>
  <si>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</si>
  <si>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</si>
  <si>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</si>
  <si>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</si>
  <si>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</si>
  <si>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</si>
  <si>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</si>
  <si>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</si>
  <si>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</si>
  <si>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</si>
  <si>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</si>
  <si>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</si>
  <si>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</si>
  <si>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</si>
  <si>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</si>
  <si>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</si>
  <si>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</si>
  <si>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</si>
  <si>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</si>
  <si>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</si>
  <si>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</si>
  <si>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</si>
  <si>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</si>
  <si>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</si>
  <si>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</si>
  <si>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</si>
  <si>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</si>
  <si>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</si>
  <si>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</si>
  <si>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</si>
  <si>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</si>
  <si>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</si>
  <si>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</si>
  <si>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</si>
  <si>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</si>
  <si>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</si>
  <si>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</si>
  <si>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</si>
  <si>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</si>
  <si>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</si>
  <si>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</si>
  <si>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</si>
  <si>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</si>
  <si>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</si>
  <si>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</si>
  <si>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</si>
  <si>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</si>
  <si>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</si>
  <si>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</si>
  <si>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</si>
  <si>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</si>
  <si>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</si>
  <si>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</si>
  <si>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</si>
  <si>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</si>
  <si>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</si>
  <si>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</si>
  <si>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</si>
  <si>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</si>
  <si>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</si>
  <si>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</si>
  <si>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</si>
  <si>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</si>
  <si>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</si>
  <si>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</si>
  <si>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</si>
  <si>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</si>
  <si>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</si>
  <si>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</si>
  <si>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3/11</t>
  </si>
  <si>
    <t>11/09</t>
  </si>
  <si>
    <t>8/21</t>
  </si>
  <si>
    <t>12/25</t>
  </si>
  <si>
    <t>Winnisquam 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</si>
</sst>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916</v>
      </c>
      <c r="B2" s="21">
        <v>582</v>
      </c>
      <c r="C2" s="21">
        <v>0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942633</v>
      </c>
      <c r="G9" s="18">
        <v>300866</v>
      </c>
      <c r="H9" s="18"/>
      <c r="I9" s="18"/>
      <c r="J9" s="67">
        <f>SUM(I439)</f>
        <v>1303373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914015</v>
      </c>
      <c r="G12" s="18"/>
      <c r="H12" s="18">
        <v>13415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13563</v>
      </c>
      <c r="G13" s="18">
        <v>22189</v>
      </c>
      <c r="H13" s="18">
        <v>446919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232494</v>
      </c>
      <c r="G14" s="18">
        <v>13307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27439</v>
      </c>
      <c r="G17" s="18"/>
      <c r="H17" s="18"/>
      <c r="I17" s="18"/>
      <c r="J17" s="67">
        <f>SUM(I444)</f>
        <v>31801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2130144</v>
      </c>
      <c r="G19" s="41">
        <f>SUM(G9:G18)</f>
        <v>336362</v>
      </c>
      <c r="H19" s="41">
        <f>SUM(H9:H18)</f>
        <v>460334</v>
      </c>
      <c r="I19" s="41">
        <f>SUM(I9:I18)</f>
        <v>0</v>
      </c>
      <c r="J19" s="41">
        <f>SUM(J9:J18)</f>
        <v>1335174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>
        <v>131217</v>
      </c>
      <c r="H22" s="18">
        <v>428103</v>
      </c>
      <c r="I22" s="18"/>
      <c r="J22" s="67">
        <f>SUM(I448)</f>
        <v>367182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240172</v>
      </c>
      <c r="G24" s="18">
        <v>4000</v>
      </c>
      <c r="H24" s="18">
        <v>12726</v>
      </c>
      <c r="I24" s="18"/>
      <c r="J24" s="67">
        <f>SUM(I450)</f>
        <v>18685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89521</v>
      </c>
      <c r="G28" s="18"/>
      <c r="H28" s="18">
        <v>6413</v>
      </c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522974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>
        <v>10822</v>
      </c>
      <c r="H30" s="18">
        <v>13092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852667</v>
      </c>
      <c r="G32" s="41">
        <f>SUM(G22:G31)</f>
        <v>146039</v>
      </c>
      <c r="H32" s="41">
        <f>SUM(H22:H31)</f>
        <v>460334</v>
      </c>
      <c r="I32" s="41">
        <f>SUM(I22:I31)</f>
        <v>0</v>
      </c>
      <c r="J32" s="41">
        <f>SUM(J22:J31)</f>
        <v>385867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190323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500000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>
        <v>176706</v>
      </c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949307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600771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1277477</v>
      </c>
      <c r="G51" s="41">
        <f>SUM(G35:G50)</f>
        <v>190323</v>
      </c>
      <c r="H51" s="41">
        <f>SUM(H35:H50)</f>
        <v>0</v>
      </c>
      <c r="I51" s="41">
        <f>SUM(I35:I50)</f>
        <v>0</v>
      </c>
      <c r="J51" s="41">
        <f>SUM(J35:J50)</f>
        <v>949307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2130144</v>
      </c>
      <c r="G52" s="41">
        <f>G51+G32</f>
        <v>336362</v>
      </c>
      <c r="H52" s="41">
        <f>H51+H32</f>
        <v>460334</v>
      </c>
      <c r="I52" s="41">
        <f>I51+I32</f>
        <v>0</v>
      </c>
      <c r="J52" s="41">
        <f>J51+J32</f>
        <v>1335174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13265486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13265486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14194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84527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>
        <v>28426</v>
      </c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127147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11659</v>
      </c>
      <c r="G96" s="18"/>
      <c r="H96" s="18">
        <v>9</v>
      </c>
      <c r="I96" s="18"/>
      <c r="J96" s="18">
        <v>1971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298715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1763</v>
      </c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1898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v>2747</v>
      </c>
      <c r="I102" s="18"/>
      <c r="J102" s="18">
        <v>50000</v>
      </c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>
        <v>23855</v>
      </c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28450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110430</v>
      </c>
      <c r="G110" s="18"/>
      <c r="H110" s="18">
        <v>4745</v>
      </c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178055</v>
      </c>
      <c r="G111" s="41">
        <f>SUM(G96:G110)</f>
        <v>298715</v>
      </c>
      <c r="H111" s="41">
        <f>SUM(H96:H110)</f>
        <v>7501</v>
      </c>
      <c r="I111" s="41">
        <f>SUM(I96:I110)</f>
        <v>0</v>
      </c>
      <c r="J111" s="41">
        <f>SUM(J96:J110)</f>
        <v>51971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13570688</v>
      </c>
      <c r="G112" s="41">
        <f>G60+G111</f>
        <v>298715</v>
      </c>
      <c r="H112" s="41">
        <f>H60+H79+H94+H111</f>
        <v>7501</v>
      </c>
      <c r="I112" s="41">
        <f>I60+I111</f>
        <v>0</v>
      </c>
      <c r="J112" s="41">
        <f>J60+J111</f>
        <v>51971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6535460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2714530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3487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9253477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610569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22328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37675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19040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9623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689612</v>
      </c>
      <c r="G136" s="41">
        <f>SUM(G123:G135)</f>
        <v>9623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9943089</v>
      </c>
      <c r="G140" s="41">
        <f>G121+SUM(G136:G137)</f>
        <v>9623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507605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189847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>
        <v>71844</v>
      </c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287035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391261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223592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223592</v>
      </c>
      <c r="G162" s="41">
        <f>SUM(G150:G161)</f>
        <v>287035</v>
      </c>
      <c r="H162" s="41">
        <f>SUM(H150:H161)</f>
        <v>1160557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223592</v>
      </c>
      <c r="G169" s="41">
        <f>G147+G162+SUM(G163:G168)</f>
        <v>287035</v>
      </c>
      <c r="H169" s="41">
        <f>H147+H162+SUM(H163:H168)</f>
        <v>1160557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472500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>
        <v>28850</v>
      </c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28850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472500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50000</v>
      </c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50000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78850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472500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23816219</v>
      </c>
      <c r="G193" s="47">
        <f>G112+G140+G169+G192</f>
        <v>595373</v>
      </c>
      <c r="H193" s="47">
        <f>H112+H140+H169+H192</f>
        <v>1168058</v>
      </c>
      <c r="I193" s="47">
        <f>I112+I140+I169+I192</f>
        <v>0</v>
      </c>
      <c r="J193" s="47">
        <f>J112+J140+J192</f>
        <v>524471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2530792</v>
      </c>
      <c r="G197" s="18">
        <v>1212917</v>
      </c>
      <c r="H197" s="18">
        <v>1607</v>
      </c>
      <c r="I197" s="18">
        <v>69571</v>
      </c>
      <c r="J197" s="18">
        <v>11796</v>
      </c>
      <c r="K197" s="18"/>
      <c r="L197" s="19">
        <f>SUM(F197:K197)</f>
        <v>3826683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801512</v>
      </c>
      <c r="G198" s="18">
        <v>340173</v>
      </c>
      <c r="H198" s="18">
        <v>585249</v>
      </c>
      <c r="I198" s="18">
        <v>5602</v>
      </c>
      <c r="J198" s="18">
        <v>0</v>
      </c>
      <c r="K198" s="18">
        <v>21461</v>
      </c>
      <c r="L198" s="19">
        <f>SUM(F198:K198)</f>
        <v>1753997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7093</v>
      </c>
      <c r="G200" s="18">
        <v>1172</v>
      </c>
      <c r="H200" s="18"/>
      <c r="I200" s="18"/>
      <c r="J200" s="18"/>
      <c r="K200" s="18"/>
      <c r="L200" s="19">
        <f>SUM(F200:K200)</f>
        <v>8265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417334</v>
      </c>
      <c r="G202" s="18">
        <v>209189</v>
      </c>
      <c r="H202" s="18">
        <v>40886</v>
      </c>
      <c r="I202" s="18">
        <v>6868</v>
      </c>
      <c r="J202" s="18">
        <v>1455</v>
      </c>
      <c r="K202" s="18">
        <v>403</v>
      </c>
      <c r="L202" s="19">
        <f t="shared" ref="L202:L208" si="0">SUM(F202:K202)</f>
        <v>676135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144082</v>
      </c>
      <c r="G203" s="18">
        <v>121929</v>
      </c>
      <c r="H203" s="18">
        <v>31423</v>
      </c>
      <c r="I203" s="18">
        <v>14632</v>
      </c>
      <c r="J203" s="18"/>
      <c r="K203" s="18">
        <v>125</v>
      </c>
      <c r="L203" s="19">
        <f t="shared" si="0"/>
        <v>312191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380119</v>
      </c>
      <c r="G204" s="18">
        <v>182115</v>
      </c>
      <c r="H204" s="18">
        <v>147446</v>
      </c>
      <c r="I204" s="18">
        <v>12940</v>
      </c>
      <c r="J204" s="18">
        <v>84247</v>
      </c>
      <c r="K204" s="18">
        <v>3257</v>
      </c>
      <c r="L204" s="19">
        <f t="shared" si="0"/>
        <v>810124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356644</v>
      </c>
      <c r="G205" s="18">
        <v>174705</v>
      </c>
      <c r="H205" s="18">
        <v>5575</v>
      </c>
      <c r="I205" s="18">
        <v>697</v>
      </c>
      <c r="J205" s="18"/>
      <c r="K205" s="18">
        <v>332</v>
      </c>
      <c r="L205" s="19">
        <f t="shared" si="0"/>
        <v>537953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110393</v>
      </c>
      <c r="G206" s="18">
        <v>55520</v>
      </c>
      <c r="H206" s="18"/>
      <c r="I206" s="18"/>
      <c r="J206" s="18"/>
      <c r="K206" s="18"/>
      <c r="L206" s="19">
        <f t="shared" si="0"/>
        <v>165913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356516</v>
      </c>
      <c r="G207" s="18">
        <v>209640</v>
      </c>
      <c r="H207" s="18">
        <v>238537</v>
      </c>
      <c r="I207" s="18">
        <v>182962</v>
      </c>
      <c r="J207" s="18">
        <v>80958</v>
      </c>
      <c r="K207" s="18">
        <v>859</v>
      </c>
      <c r="L207" s="19">
        <f t="shared" si="0"/>
        <v>1069472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335809</v>
      </c>
      <c r="I208" s="18">
        <v>27468</v>
      </c>
      <c r="J208" s="18"/>
      <c r="K208" s="18"/>
      <c r="L208" s="19">
        <f t="shared" si="0"/>
        <v>363277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>
        <v>17851</v>
      </c>
      <c r="H209" s="18"/>
      <c r="I209" s="18"/>
      <c r="J209" s="18"/>
      <c r="K209" s="18"/>
      <c r="L209" s="19">
        <f>SUM(F209:K209)</f>
        <v>17851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5104485</v>
      </c>
      <c r="G211" s="41">
        <f t="shared" si="1"/>
        <v>2525211</v>
      </c>
      <c r="H211" s="41">
        <f t="shared" si="1"/>
        <v>1386532</v>
      </c>
      <c r="I211" s="41">
        <f t="shared" si="1"/>
        <v>320740</v>
      </c>
      <c r="J211" s="41">
        <f t="shared" si="1"/>
        <v>178456</v>
      </c>
      <c r="K211" s="41">
        <f t="shared" si="1"/>
        <v>26437</v>
      </c>
      <c r="L211" s="41">
        <f t="shared" si="1"/>
        <v>9541861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1247123</v>
      </c>
      <c r="G215" s="18">
        <v>600349</v>
      </c>
      <c r="H215" s="18">
        <v>2795</v>
      </c>
      <c r="I215" s="18">
        <v>35080</v>
      </c>
      <c r="J215" s="18">
        <v>17081</v>
      </c>
      <c r="K215" s="18">
        <v>418</v>
      </c>
      <c r="L215" s="19">
        <f>SUM(F215:K215)</f>
        <v>1902846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437031</v>
      </c>
      <c r="G216" s="18">
        <v>147356</v>
      </c>
      <c r="H216" s="18">
        <v>352977</v>
      </c>
      <c r="I216" s="18">
        <v>2098</v>
      </c>
      <c r="J216" s="18"/>
      <c r="K216" s="18">
        <v>12639</v>
      </c>
      <c r="L216" s="19">
        <f>SUM(F216:K216)</f>
        <v>952101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88912</v>
      </c>
      <c r="G218" s="18">
        <v>18226</v>
      </c>
      <c r="H218" s="18">
        <v>18408</v>
      </c>
      <c r="I218" s="18">
        <v>4437</v>
      </c>
      <c r="J218" s="18">
        <v>13986</v>
      </c>
      <c r="K218" s="18">
        <v>2649</v>
      </c>
      <c r="L218" s="19">
        <f>SUM(F218:K218)</f>
        <v>146618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235829</v>
      </c>
      <c r="G220" s="18">
        <v>115008</v>
      </c>
      <c r="H220" s="18">
        <v>61981</v>
      </c>
      <c r="I220" s="18">
        <v>7062</v>
      </c>
      <c r="J220" s="18">
        <v>624</v>
      </c>
      <c r="K220" s="18">
        <v>478</v>
      </c>
      <c r="L220" s="19">
        <f t="shared" ref="L220:L226" si="2">SUM(F220:K220)</f>
        <v>420982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124749</v>
      </c>
      <c r="G221" s="18">
        <v>89040</v>
      </c>
      <c r="H221" s="18">
        <v>20108</v>
      </c>
      <c r="I221" s="18">
        <v>16215</v>
      </c>
      <c r="J221" s="18">
        <v>788</v>
      </c>
      <c r="K221" s="18">
        <v>262</v>
      </c>
      <c r="L221" s="19">
        <f t="shared" si="2"/>
        <v>251162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229394</v>
      </c>
      <c r="G222" s="18">
        <v>109902</v>
      </c>
      <c r="H222" s="18">
        <v>88981</v>
      </c>
      <c r="I222" s="18">
        <v>7809</v>
      </c>
      <c r="J222" s="18">
        <v>50841</v>
      </c>
      <c r="K222" s="18">
        <v>1965</v>
      </c>
      <c r="L222" s="19">
        <f t="shared" si="2"/>
        <v>488892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269034</v>
      </c>
      <c r="G223" s="18">
        <v>147741</v>
      </c>
      <c r="H223" s="18">
        <v>2490</v>
      </c>
      <c r="I223" s="18">
        <v>5466</v>
      </c>
      <c r="J223" s="18"/>
      <c r="K223" s="18">
        <v>1847</v>
      </c>
      <c r="L223" s="19">
        <f t="shared" si="2"/>
        <v>426578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66620</v>
      </c>
      <c r="G224" s="18">
        <v>33505</v>
      </c>
      <c r="H224" s="18"/>
      <c r="I224" s="18"/>
      <c r="J224" s="18"/>
      <c r="K224" s="18"/>
      <c r="L224" s="19">
        <f t="shared" si="2"/>
        <v>100125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175820</v>
      </c>
      <c r="G225" s="18">
        <v>97320</v>
      </c>
      <c r="H225" s="18">
        <v>133931</v>
      </c>
      <c r="I225" s="18">
        <v>68976</v>
      </c>
      <c r="J225" s="18">
        <v>16870</v>
      </c>
      <c r="K225" s="18">
        <v>519</v>
      </c>
      <c r="L225" s="19">
        <f t="shared" si="2"/>
        <v>493436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216808</v>
      </c>
      <c r="I226" s="18">
        <v>16576</v>
      </c>
      <c r="J226" s="18"/>
      <c r="K226" s="18"/>
      <c r="L226" s="19">
        <f t="shared" si="2"/>
        <v>233384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>
        <v>10773</v>
      </c>
      <c r="H227" s="18"/>
      <c r="I227" s="18"/>
      <c r="J227" s="18"/>
      <c r="K227" s="18"/>
      <c r="L227" s="19">
        <f>SUM(F227:K227)</f>
        <v>10773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2874512</v>
      </c>
      <c r="G229" s="41">
        <f>SUM(G215:G228)</f>
        <v>1369220</v>
      </c>
      <c r="H229" s="41">
        <f>SUM(H215:H228)</f>
        <v>898479</v>
      </c>
      <c r="I229" s="41">
        <f>SUM(I215:I228)</f>
        <v>163719</v>
      </c>
      <c r="J229" s="41">
        <f>SUM(J215:J228)</f>
        <v>100190</v>
      </c>
      <c r="K229" s="41">
        <f t="shared" si="3"/>
        <v>20777</v>
      </c>
      <c r="L229" s="41">
        <f t="shared" si="3"/>
        <v>5426897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1573680</v>
      </c>
      <c r="G233" s="18">
        <v>711196</v>
      </c>
      <c r="H233" s="18">
        <v>102969</v>
      </c>
      <c r="I233" s="18">
        <v>66275</v>
      </c>
      <c r="J233" s="18">
        <v>17315</v>
      </c>
      <c r="K233" s="18">
        <v>1804</v>
      </c>
      <c r="L233" s="19">
        <f>SUM(F233:K233)</f>
        <v>2473239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456640</v>
      </c>
      <c r="G234" s="18">
        <v>173431</v>
      </c>
      <c r="H234" s="18">
        <v>438319</v>
      </c>
      <c r="I234" s="18">
        <v>8174</v>
      </c>
      <c r="J234" s="18">
        <v>315</v>
      </c>
      <c r="K234" s="18">
        <v>15694</v>
      </c>
      <c r="L234" s="19">
        <f>SUM(F234:K234)</f>
        <v>1092573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202711</v>
      </c>
      <c r="G235" s="18">
        <v>83854</v>
      </c>
      <c r="H235" s="18">
        <v>174945</v>
      </c>
      <c r="I235" s="18">
        <v>10788</v>
      </c>
      <c r="J235" s="18"/>
      <c r="K235" s="18">
        <v>504</v>
      </c>
      <c r="L235" s="19">
        <f>SUM(F235:K235)</f>
        <v>472802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179403</v>
      </c>
      <c r="G236" s="18">
        <v>34817</v>
      </c>
      <c r="H236" s="18">
        <v>63067</v>
      </c>
      <c r="I236" s="18">
        <v>17135</v>
      </c>
      <c r="J236" s="18">
        <v>9753</v>
      </c>
      <c r="K236" s="18">
        <v>14200</v>
      </c>
      <c r="L236" s="19">
        <f>SUM(F236:K236)</f>
        <v>318375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233003</v>
      </c>
      <c r="G238" s="18">
        <v>162575</v>
      </c>
      <c r="H238" s="18">
        <v>74636</v>
      </c>
      <c r="I238" s="18">
        <v>6401</v>
      </c>
      <c r="J238" s="18">
        <v>1467</v>
      </c>
      <c r="K238" s="18"/>
      <c r="L238" s="19">
        <f t="shared" ref="L238:L244" si="4">SUM(F238:K238)</f>
        <v>478082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195807</v>
      </c>
      <c r="G239" s="18">
        <v>119155</v>
      </c>
      <c r="H239" s="18">
        <v>21487</v>
      </c>
      <c r="I239" s="18">
        <v>15928</v>
      </c>
      <c r="J239" s="18"/>
      <c r="K239" s="18">
        <v>94</v>
      </c>
      <c r="L239" s="19">
        <f t="shared" si="4"/>
        <v>352471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284856</v>
      </c>
      <c r="G240" s="18">
        <v>136474</v>
      </c>
      <c r="H240" s="18">
        <v>110494</v>
      </c>
      <c r="I240" s="18">
        <v>9697</v>
      </c>
      <c r="J240" s="18">
        <v>63134</v>
      </c>
      <c r="K240" s="18">
        <v>2440</v>
      </c>
      <c r="L240" s="19">
        <f t="shared" si="4"/>
        <v>607095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334991</v>
      </c>
      <c r="G241" s="18">
        <v>187320</v>
      </c>
      <c r="H241" s="18">
        <v>11046</v>
      </c>
      <c r="I241" s="18">
        <v>3644</v>
      </c>
      <c r="J241" s="18"/>
      <c r="K241" s="18">
        <v>4978</v>
      </c>
      <c r="L241" s="19">
        <f t="shared" si="4"/>
        <v>541979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82727</v>
      </c>
      <c r="G242" s="18">
        <v>41606</v>
      </c>
      <c r="H242" s="18"/>
      <c r="I242" s="18"/>
      <c r="J242" s="18"/>
      <c r="K242" s="18"/>
      <c r="L242" s="19">
        <f t="shared" si="4"/>
        <v>124333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235832</v>
      </c>
      <c r="G243" s="18">
        <v>153223</v>
      </c>
      <c r="H243" s="18">
        <v>186177</v>
      </c>
      <c r="I243" s="18">
        <v>204011</v>
      </c>
      <c r="J243" s="18">
        <v>12511</v>
      </c>
      <c r="K243" s="18">
        <v>644</v>
      </c>
      <c r="L243" s="19">
        <f t="shared" si="4"/>
        <v>792398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295770</v>
      </c>
      <c r="I244" s="18">
        <v>20584</v>
      </c>
      <c r="J244" s="18"/>
      <c r="K244" s="18"/>
      <c r="L244" s="19">
        <f t="shared" si="4"/>
        <v>316354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>
        <v>13377</v>
      </c>
      <c r="H245" s="18"/>
      <c r="I245" s="18"/>
      <c r="J245" s="18"/>
      <c r="K245" s="18"/>
      <c r="L245" s="19">
        <f>SUM(F245:K245)</f>
        <v>13377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3779650</v>
      </c>
      <c r="G247" s="41">
        <f t="shared" si="5"/>
        <v>1817028</v>
      </c>
      <c r="H247" s="41">
        <f t="shared" si="5"/>
        <v>1478910</v>
      </c>
      <c r="I247" s="41">
        <f t="shared" si="5"/>
        <v>362637</v>
      </c>
      <c r="J247" s="41">
        <f t="shared" si="5"/>
        <v>104495</v>
      </c>
      <c r="K247" s="41">
        <f t="shared" si="5"/>
        <v>40358</v>
      </c>
      <c r="L247" s="41">
        <f t="shared" si="5"/>
        <v>7583078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11758647</v>
      </c>
      <c r="G257" s="41">
        <f t="shared" si="8"/>
        <v>5711459</v>
      </c>
      <c r="H257" s="41">
        <f t="shared" si="8"/>
        <v>3763921</v>
      </c>
      <c r="I257" s="41">
        <f t="shared" si="8"/>
        <v>847096</v>
      </c>
      <c r="J257" s="41">
        <f t="shared" si="8"/>
        <v>383141</v>
      </c>
      <c r="K257" s="41">
        <f t="shared" si="8"/>
        <v>87572</v>
      </c>
      <c r="L257" s="41">
        <f t="shared" si="8"/>
        <v>22551836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1079674</v>
      </c>
      <c r="L260" s="19">
        <f>SUM(F260:K260)</f>
        <v>1079674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183987</v>
      </c>
      <c r="L261" s="19">
        <f>SUM(F261:K261)</f>
        <v>183987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472500</v>
      </c>
      <c r="L266" s="19">
        <f t="shared" si="9"/>
        <v>472500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1736161</v>
      </c>
      <c r="L270" s="41">
        <f t="shared" si="9"/>
        <v>1736161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11758647</v>
      </c>
      <c r="G271" s="42">
        <f t="shared" si="11"/>
        <v>5711459</v>
      </c>
      <c r="H271" s="42">
        <f t="shared" si="11"/>
        <v>3763921</v>
      </c>
      <c r="I271" s="42">
        <f t="shared" si="11"/>
        <v>847096</v>
      </c>
      <c r="J271" s="42">
        <f t="shared" si="11"/>
        <v>383141</v>
      </c>
      <c r="K271" s="42">
        <f t="shared" si="11"/>
        <v>1823733</v>
      </c>
      <c r="L271" s="42">
        <f t="shared" si="11"/>
        <v>24287997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154772</v>
      </c>
      <c r="G276" s="18">
        <v>70438</v>
      </c>
      <c r="H276" s="18">
        <v>16015</v>
      </c>
      <c r="I276" s="18">
        <v>12874</v>
      </c>
      <c r="J276" s="18">
        <v>6274</v>
      </c>
      <c r="K276" s="18"/>
      <c r="L276" s="19">
        <f>SUM(F276:K276)</f>
        <v>260373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77260</v>
      </c>
      <c r="G277" s="18">
        <v>200</v>
      </c>
      <c r="H277" s="18">
        <v>49915</v>
      </c>
      <c r="I277" s="18">
        <v>1541</v>
      </c>
      <c r="J277" s="18">
        <v>2675</v>
      </c>
      <c r="K277" s="18"/>
      <c r="L277" s="19">
        <f>SUM(F277:K277)</f>
        <v>131591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>
        <v>17000</v>
      </c>
      <c r="I279" s="18">
        <v>642</v>
      </c>
      <c r="J279" s="18"/>
      <c r="K279" s="18"/>
      <c r="L279" s="19">
        <f>SUM(F279:K279)</f>
        <v>17642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31145</v>
      </c>
      <c r="G281" s="18"/>
      <c r="H281" s="18">
        <v>32075</v>
      </c>
      <c r="I281" s="18">
        <v>200</v>
      </c>
      <c r="J281" s="18"/>
      <c r="K281" s="18"/>
      <c r="L281" s="19">
        <f t="shared" ref="L281:L287" si="12">SUM(F281:K281)</f>
        <v>63420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5090</v>
      </c>
      <c r="G282" s="18">
        <v>1170</v>
      </c>
      <c r="H282" s="18">
        <v>22376</v>
      </c>
      <c r="I282" s="18">
        <v>317</v>
      </c>
      <c r="J282" s="18"/>
      <c r="K282" s="18"/>
      <c r="L282" s="19">
        <f t="shared" si="12"/>
        <v>28953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25851</v>
      </c>
      <c r="G283" s="18">
        <v>3329</v>
      </c>
      <c r="H283" s="18">
        <v>356</v>
      </c>
      <c r="I283" s="18">
        <v>21</v>
      </c>
      <c r="J283" s="18"/>
      <c r="K283" s="18"/>
      <c r="L283" s="19">
        <f t="shared" si="12"/>
        <v>29557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>
        <v>429</v>
      </c>
      <c r="L284" s="19">
        <f t="shared" si="12"/>
        <v>429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>
        <v>7533</v>
      </c>
      <c r="I286" s="18"/>
      <c r="J286" s="18">
        <v>109</v>
      </c>
      <c r="K286" s="18">
        <v>2409</v>
      </c>
      <c r="L286" s="19">
        <f t="shared" si="12"/>
        <v>10051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23740</v>
      </c>
      <c r="I287" s="18"/>
      <c r="J287" s="18"/>
      <c r="K287" s="18"/>
      <c r="L287" s="19">
        <f t="shared" si="12"/>
        <v>23740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294118</v>
      </c>
      <c r="G290" s="42">
        <f t="shared" si="13"/>
        <v>75137</v>
      </c>
      <c r="H290" s="42">
        <f t="shared" si="13"/>
        <v>169010</v>
      </c>
      <c r="I290" s="42">
        <f t="shared" si="13"/>
        <v>15595</v>
      </c>
      <c r="J290" s="42">
        <f t="shared" si="13"/>
        <v>9058</v>
      </c>
      <c r="K290" s="42">
        <f t="shared" si="13"/>
        <v>2838</v>
      </c>
      <c r="L290" s="41">
        <f t="shared" si="13"/>
        <v>565756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v>93401</v>
      </c>
      <c r="G295" s="18">
        <v>42508</v>
      </c>
      <c r="H295" s="18">
        <v>8007</v>
      </c>
      <c r="I295" s="18">
        <v>7324</v>
      </c>
      <c r="J295" s="18">
        <v>3786</v>
      </c>
      <c r="K295" s="18"/>
      <c r="L295" s="19">
        <f>SUM(F295:K295)</f>
        <v>155026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46625</v>
      </c>
      <c r="G296" s="18">
        <v>121</v>
      </c>
      <c r="H296" s="18">
        <v>30123</v>
      </c>
      <c r="I296" s="18">
        <v>930</v>
      </c>
      <c r="J296" s="18">
        <v>1614</v>
      </c>
      <c r="K296" s="18"/>
      <c r="L296" s="19">
        <f>SUM(F296:K296)</f>
        <v>79413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>
        <v>10260</v>
      </c>
      <c r="I298" s="18">
        <v>388</v>
      </c>
      <c r="J298" s="18"/>
      <c r="K298" s="18"/>
      <c r="L298" s="19">
        <f>SUM(F298:K298)</f>
        <v>10648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v>18795</v>
      </c>
      <c r="G300" s="18"/>
      <c r="H300" s="18">
        <v>19357</v>
      </c>
      <c r="I300" s="18">
        <v>121</v>
      </c>
      <c r="J300" s="18"/>
      <c r="K300" s="18"/>
      <c r="L300" s="19">
        <f t="shared" ref="L300:L306" si="14">SUM(F300:K300)</f>
        <v>38273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3072</v>
      </c>
      <c r="G301" s="18">
        <v>706</v>
      </c>
      <c r="H301" s="18">
        <v>13503</v>
      </c>
      <c r="I301" s="18">
        <v>191</v>
      </c>
      <c r="J301" s="18"/>
      <c r="K301" s="18"/>
      <c r="L301" s="19">
        <f t="shared" si="14"/>
        <v>17472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>
        <v>15601</v>
      </c>
      <c r="G302" s="18">
        <v>2009</v>
      </c>
      <c r="H302" s="18">
        <v>215</v>
      </c>
      <c r="I302" s="18">
        <v>13</v>
      </c>
      <c r="J302" s="18"/>
      <c r="K302" s="18"/>
      <c r="L302" s="19">
        <f t="shared" si="14"/>
        <v>17838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>
        <v>2678</v>
      </c>
      <c r="L303" s="19">
        <f t="shared" si="14"/>
        <v>2678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>
        <v>4546</v>
      </c>
      <c r="I305" s="18"/>
      <c r="J305" s="18"/>
      <c r="K305" s="18">
        <v>1454</v>
      </c>
      <c r="L305" s="19">
        <f t="shared" si="14"/>
        <v>6000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>
        <v>14327</v>
      </c>
      <c r="I306" s="18"/>
      <c r="J306" s="18"/>
      <c r="K306" s="18"/>
      <c r="L306" s="19">
        <f t="shared" si="14"/>
        <v>14327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177494</v>
      </c>
      <c r="G309" s="42">
        <f t="shared" si="15"/>
        <v>45344</v>
      </c>
      <c r="H309" s="42">
        <f t="shared" si="15"/>
        <v>100338</v>
      </c>
      <c r="I309" s="42">
        <f t="shared" si="15"/>
        <v>8967</v>
      </c>
      <c r="J309" s="42">
        <f t="shared" si="15"/>
        <v>5400</v>
      </c>
      <c r="K309" s="42">
        <f t="shared" si="15"/>
        <v>4132</v>
      </c>
      <c r="L309" s="41">
        <f t="shared" si="15"/>
        <v>341675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v>3185</v>
      </c>
      <c r="G314" s="18"/>
      <c r="H314" s="18">
        <v>7598</v>
      </c>
      <c r="I314" s="18"/>
      <c r="J314" s="18"/>
      <c r="K314" s="18"/>
      <c r="L314" s="19">
        <f>SUM(F314:K314)</f>
        <v>10783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55935</v>
      </c>
      <c r="G315" s="18"/>
      <c r="H315" s="18">
        <v>37386</v>
      </c>
      <c r="I315" s="18"/>
      <c r="J315" s="18">
        <v>2005</v>
      </c>
      <c r="K315" s="18"/>
      <c r="L315" s="19">
        <f>SUM(F315:K315)</f>
        <v>95326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>
        <v>19290</v>
      </c>
      <c r="G316" s="18">
        <v>120</v>
      </c>
      <c r="H316" s="18">
        <v>31436</v>
      </c>
      <c r="I316" s="18">
        <v>5621</v>
      </c>
      <c r="J316" s="18">
        <v>11504</v>
      </c>
      <c r="K316" s="18">
        <v>1780</v>
      </c>
      <c r="L316" s="19">
        <f>SUM(F316:K316)</f>
        <v>69751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>
        <v>12740</v>
      </c>
      <c r="I317" s="18"/>
      <c r="J317" s="18"/>
      <c r="K317" s="18"/>
      <c r="L317" s="19">
        <f>SUM(F317:K317)</f>
        <v>12740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23340</v>
      </c>
      <c r="G319" s="18"/>
      <c r="H319" s="18">
        <v>23981</v>
      </c>
      <c r="I319" s="18">
        <v>150</v>
      </c>
      <c r="J319" s="18"/>
      <c r="K319" s="18"/>
      <c r="L319" s="19">
        <f t="shared" ref="L319:L325" si="16">SUM(F319:K319)</f>
        <v>47471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2098</v>
      </c>
      <c r="G320" s="18">
        <v>489</v>
      </c>
      <c r="H320" s="18">
        <v>2680</v>
      </c>
      <c r="I320" s="18">
        <v>238</v>
      </c>
      <c r="J320" s="18"/>
      <c r="K320" s="18"/>
      <c r="L320" s="19">
        <f t="shared" si="16"/>
        <v>5505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>
        <v>4429</v>
      </c>
      <c r="G321" s="18">
        <v>1351</v>
      </c>
      <c r="H321" s="18">
        <v>257</v>
      </c>
      <c r="I321" s="18">
        <v>16</v>
      </c>
      <c r="J321" s="18"/>
      <c r="K321" s="18"/>
      <c r="L321" s="19">
        <f t="shared" si="16"/>
        <v>6053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>
        <v>558</v>
      </c>
      <c r="L322" s="19">
        <f t="shared" si="16"/>
        <v>558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>
        <v>5645</v>
      </c>
      <c r="I323" s="18"/>
      <c r="J323" s="18"/>
      <c r="K323" s="18">
        <v>1805</v>
      </c>
      <c r="L323" s="19">
        <f t="shared" si="16"/>
        <v>7450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108277</v>
      </c>
      <c r="G328" s="42">
        <f t="shared" si="17"/>
        <v>1960</v>
      </c>
      <c r="H328" s="42">
        <f t="shared" si="17"/>
        <v>121723</v>
      </c>
      <c r="I328" s="42">
        <f t="shared" si="17"/>
        <v>6025</v>
      </c>
      <c r="J328" s="42">
        <f t="shared" si="17"/>
        <v>13509</v>
      </c>
      <c r="K328" s="42">
        <f t="shared" si="17"/>
        <v>4143</v>
      </c>
      <c r="L328" s="41">
        <f t="shared" si="17"/>
        <v>255637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579889</v>
      </c>
      <c r="G338" s="41">
        <f t="shared" si="20"/>
        <v>122441</v>
      </c>
      <c r="H338" s="41">
        <f t="shared" si="20"/>
        <v>391071</v>
      </c>
      <c r="I338" s="41">
        <f t="shared" si="20"/>
        <v>30587</v>
      </c>
      <c r="J338" s="41">
        <f t="shared" si="20"/>
        <v>27967</v>
      </c>
      <c r="K338" s="41">
        <f t="shared" si="20"/>
        <v>11113</v>
      </c>
      <c r="L338" s="41">
        <f t="shared" si="20"/>
        <v>1163068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>
        <v>28141</v>
      </c>
      <c r="L344" s="19">
        <f t="shared" ref="L344:L350" si="21">SUM(F344:K344)</f>
        <v>28141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28141</v>
      </c>
      <c r="L351" s="41">
        <f>SUM(L341:L350)</f>
        <v>28141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579889</v>
      </c>
      <c r="G352" s="41">
        <f>G338</f>
        <v>122441</v>
      </c>
      <c r="H352" s="41">
        <f>H338</f>
        <v>391071</v>
      </c>
      <c r="I352" s="41">
        <f>I338</f>
        <v>30587</v>
      </c>
      <c r="J352" s="41">
        <f>J338</f>
        <v>27967</v>
      </c>
      <c r="K352" s="47">
        <f>K338+K351</f>
        <v>39254</v>
      </c>
      <c r="L352" s="41">
        <f>L338+L351</f>
        <v>1191209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110156</v>
      </c>
      <c r="G358" s="18">
        <v>29670</v>
      </c>
      <c r="H358" s="18">
        <v>1983</v>
      </c>
      <c r="I358" s="18">
        <v>129495</v>
      </c>
      <c r="J358" s="18">
        <v>4692</v>
      </c>
      <c r="K358" s="18">
        <v>1785</v>
      </c>
      <c r="L358" s="13">
        <f>SUM(F358:K358)</f>
        <v>277781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65302</v>
      </c>
      <c r="G359" s="18">
        <v>9189</v>
      </c>
      <c r="H359" s="18">
        <v>1197</v>
      </c>
      <c r="I359" s="18">
        <v>66293</v>
      </c>
      <c r="J359" s="18">
        <v>2832</v>
      </c>
      <c r="K359" s="18">
        <v>1078</v>
      </c>
      <c r="L359" s="19">
        <f>SUM(F359:K359)</f>
        <v>145891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79989</v>
      </c>
      <c r="G360" s="18">
        <v>20426</v>
      </c>
      <c r="H360" s="18">
        <v>1486</v>
      </c>
      <c r="I360" s="18">
        <v>82322</v>
      </c>
      <c r="J360" s="18">
        <v>3516</v>
      </c>
      <c r="K360" s="18">
        <v>1338</v>
      </c>
      <c r="L360" s="19">
        <f>SUM(F360:K360)</f>
        <v>189077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255447</v>
      </c>
      <c r="G362" s="47">
        <f t="shared" si="22"/>
        <v>59285</v>
      </c>
      <c r="H362" s="47">
        <f t="shared" si="22"/>
        <v>4666</v>
      </c>
      <c r="I362" s="47">
        <f t="shared" si="22"/>
        <v>278110</v>
      </c>
      <c r="J362" s="47">
        <f t="shared" si="22"/>
        <v>11040</v>
      </c>
      <c r="K362" s="47">
        <f t="shared" si="22"/>
        <v>4201</v>
      </c>
      <c r="L362" s="47">
        <f t="shared" si="22"/>
        <v>612749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122015</v>
      </c>
      <c r="G367" s="18">
        <v>61915</v>
      </c>
      <c r="H367" s="18">
        <v>76885</v>
      </c>
      <c r="I367" s="56">
        <f>SUM(F367:H367)</f>
        <v>260815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7480</v>
      </c>
      <c r="G368" s="63">
        <v>4378</v>
      </c>
      <c r="H368" s="63">
        <v>5437</v>
      </c>
      <c r="I368" s="56">
        <f>SUM(F368:H368)</f>
        <v>17295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129495</v>
      </c>
      <c r="G369" s="47">
        <f>SUM(G367:G368)</f>
        <v>66293</v>
      </c>
      <c r="H369" s="47">
        <f>SUM(H367:H368)</f>
        <v>82322</v>
      </c>
      <c r="I369" s="47">
        <f>SUM(I367:I368)</f>
        <v>278110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>
        <v>450000</v>
      </c>
      <c r="H389" s="18">
        <v>1569</v>
      </c>
      <c r="I389" s="18"/>
      <c r="J389" s="24" t="s">
        <v>288</v>
      </c>
      <c r="K389" s="24" t="s">
        <v>288</v>
      </c>
      <c r="L389" s="56">
        <f t="shared" si="25"/>
        <v>451569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>
        <v>22500</v>
      </c>
      <c r="H392" s="18">
        <v>65</v>
      </c>
      <c r="I392" s="18">
        <v>50000</v>
      </c>
      <c r="J392" s="24" t="s">
        <v>288</v>
      </c>
      <c r="K392" s="24" t="s">
        <v>288</v>
      </c>
      <c r="L392" s="56">
        <f t="shared" si="25"/>
        <v>72565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472500</v>
      </c>
      <c r="H393" s="139">
        <f>SUM(H387:H392)</f>
        <v>1634</v>
      </c>
      <c r="I393" s="65">
        <f>SUM(I387:I392)</f>
        <v>50000</v>
      </c>
      <c r="J393" s="45" t="s">
        <v>288</v>
      </c>
      <c r="K393" s="45" t="s">
        <v>288</v>
      </c>
      <c r="L393" s="47">
        <f>SUM(L387:L392)</f>
        <v>524134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>
        <v>156</v>
      </c>
      <c r="I396" s="18"/>
      <c r="J396" s="24" t="s">
        <v>288</v>
      </c>
      <c r="K396" s="24" t="s">
        <v>288</v>
      </c>
      <c r="L396" s="56">
        <f t="shared" si="26"/>
        <v>156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181</v>
      </c>
      <c r="I397" s="18"/>
      <c r="J397" s="24" t="s">
        <v>288</v>
      </c>
      <c r="K397" s="24" t="s">
        <v>288</v>
      </c>
      <c r="L397" s="56">
        <f t="shared" si="26"/>
        <v>181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337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337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472500</v>
      </c>
      <c r="H408" s="47">
        <f>H393+H401+H407</f>
        <v>1971</v>
      </c>
      <c r="I408" s="47">
        <f>I393+I401+I407</f>
        <v>50000</v>
      </c>
      <c r="J408" s="24" t="s">
        <v>288</v>
      </c>
      <c r="K408" s="24" t="s">
        <v>288</v>
      </c>
      <c r="L408" s="47">
        <f>L393+L401+L407</f>
        <v>524471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>
        <v>517522</v>
      </c>
      <c r="I415" s="18"/>
      <c r="J415" s="18"/>
      <c r="K415" s="18"/>
      <c r="L415" s="56">
        <f t="shared" si="27"/>
        <v>517522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517522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517522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>
        <v>50000</v>
      </c>
      <c r="L423" s="56">
        <f t="shared" si="29"/>
        <v>50000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50000</v>
      </c>
      <c r="L427" s="47">
        <f t="shared" si="30"/>
        <v>50000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517522</v>
      </c>
      <c r="I434" s="47">
        <f t="shared" si="32"/>
        <v>0</v>
      </c>
      <c r="J434" s="47">
        <f t="shared" si="32"/>
        <v>0</v>
      </c>
      <c r="K434" s="47">
        <f t="shared" si="32"/>
        <v>50000</v>
      </c>
      <c r="L434" s="47">
        <f t="shared" si="32"/>
        <v>567522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>
        <v>1303373</v>
      </c>
      <c r="H439" s="18"/>
      <c r="I439" s="56">
        <f t="shared" ref="I439:I445" si="33">SUM(F439:H439)</f>
        <v>1303373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>
        <v>31801</v>
      </c>
      <c r="H444" s="18"/>
      <c r="I444" s="56">
        <f t="shared" si="33"/>
        <v>31801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1335174</v>
      </c>
      <c r="H446" s="13">
        <f>SUM(H439:H445)</f>
        <v>0</v>
      </c>
      <c r="I446" s="13">
        <f>SUM(I439:I445)</f>
        <v>1335174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>
        <v>367182</v>
      </c>
      <c r="H448" s="18"/>
      <c r="I448" s="56">
        <f>SUM(F448:H448)</f>
        <v>367182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>
        <v>18685</v>
      </c>
      <c r="H450" s="18"/>
      <c r="I450" s="56">
        <f>SUM(F450:H450)</f>
        <v>18685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385867</v>
      </c>
      <c r="H452" s="72">
        <f>SUM(H448:H451)</f>
        <v>0</v>
      </c>
      <c r="I452" s="72">
        <f>SUM(I448:I451)</f>
        <v>385867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949307</v>
      </c>
      <c r="H459" s="18"/>
      <c r="I459" s="56">
        <f t="shared" si="34"/>
        <v>949307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949307</v>
      </c>
      <c r="H460" s="83">
        <f>SUM(H454:H459)</f>
        <v>0</v>
      </c>
      <c r="I460" s="83">
        <f>SUM(I454:I459)</f>
        <v>949307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1335174</v>
      </c>
      <c r="H461" s="42">
        <f>H452+H460</f>
        <v>0</v>
      </c>
      <c r="I461" s="42">
        <f>I452+I460</f>
        <v>1335174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1749255</v>
      </c>
      <c r="G465" s="18">
        <v>207699</v>
      </c>
      <c r="H465" s="18">
        <v>23151</v>
      </c>
      <c r="I465" s="18"/>
      <c r="J465" s="18">
        <v>992358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23816219</v>
      </c>
      <c r="G468" s="18">
        <v>595373</v>
      </c>
      <c r="H468" s="18">
        <v>1168058</v>
      </c>
      <c r="I468" s="18"/>
      <c r="J468" s="18">
        <v>524471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23816219</v>
      </c>
      <c r="G470" s="53">
        <f>SUM(G468:G469)</f>
        <v>595373</v>
      </c>
      <c r="H470" s="53">
        <f>SUM(H468:H469)</f>
        <v>1168058</v>
      </c>
      <c r="I470" s="53">
        <f>SUM(I468:I469)</f>
        <v>0</v>
      </c>
      <c r="J470" s="53">
        <f>SUM(J468:J469)</f>
        <v>524471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24287997</v>
      </c>
      <c r="G472" s="18">
        <v>612749</v>
      </c>
      <c r="H472" s="18">
        <v>1191209</v>
      </c>
      <c r="I472" s="18"/>
      <c r="J472" s="18">
        <v>567522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24287997</v>
      </c>
      <c r="G474" s="53">
        <f>SUM(G472:G473)</f>
        <v>612749</v>
      </c>
      <c r="H474" s="53">
        <f>SUM(H472:H473)</f>
        <v>1191209</v>
      </c>
      <c r="I474" s="53">
        <f>SUM(I472:I473)</f>
        <v>0</v>
      </c>
      <c r="J474" s="53">
        <f>SUM(J472:J473)</f>
        <v>567522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1277477</v>
      </c>
      <c r="G476" s="53">
        <f>(G465+G470)- G474</f>
        <v>190323</v>
      </c>
      <c r="H476" s="53">
        <f>(H465+H470)- H474</f>
        <v>0</v>
      </c>
      <c r="I476" s="53">
        <f>(I465+I470)- I474</f>
        <v>0</v>
      </c>
      <c r="J476" s="53">
        <f>(J465+J470)- J474</f>
        <v>949307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10</v>
      </c>
      <c r="G490" s="154">
        <v>15</v>
      </c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912</v>
      </c>
      <c r="G491" s="155" t="s">
        <v>913</v>
      </c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 t="s">
        <v>915</v>
      </c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8625000</v>
      </c>
      <c r="G493" s="18">
        <v>3996240</v>
      </c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3.19</v>
      </c>
      <c r="G494" s="18">
        <v>1.4</v>
      </c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4935000</v>
      </c>
      <c r="G495" s="18">
        <v>2059755</v>
      </c>
      <c r="H495" s="18"/>
      <c r="I495" s="18"/>
      <c r="J495" s="18"/>
      <c r="K495" s="53">
        <f>SUM(F495:J495)</f>
        <v>6994755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855000</v>
      </c>
      <c r="G497" s="18">
        <v>224674</v>
      </c>
      <c r="H497" s="18"/>
      <c r="I497" s="18"/>
      <c r="J497" s="18"/>
      <c r="K497" s="53">
        <f t="shared" si="35"/>
        <v>1079674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4080000</v>
      </c>
      <c r="G498" s="204">
        <v>1835081</v>
      </c>
      <c r="H498" s="204"/>
      <c r="I498" s="204"/>
      <c r="J498" s="204"/>
      <c r="K498" s="205">
        <f t="shared" si="35"/>
        <v>5915081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383762</v>
      </c>
      <c r="G499" s="18">
        <v>116237</v>
      </c>
      <c r="H499" s="18"/>
      <c r="I499" s="18"/>
      <c r="J499" s="18"/>
      <c r="K499" s="53">
        <f t="shared" si="35"/>
        <v>499999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4463762</v>
      </c>
      <c r="G500" s="42">
        <f>SUM(G498:G499)</f>
        <v>1951318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6415080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845000</v>
      </c>
      <c r="G501" s="204">
        <v>225690</v>
      </c>
      <c r="H501" s="204"/>
      <c r="I501" s="204"/>
      <c r="J501" s="204"/>
      <c r="K501" s="205">
        <f t="shared" si="35"/>
        <v>1070690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129650</v>
      </c>
      <c r="G502" s="18">
        <v>25691</v>
      </c>
      <c r="H502" s="18"/>
      <c r="I502" s="18"/>
      <c r="J502" s="18"/>
      <c r="K502" s="53">
        <f t="shared" si="35"/>
        <v>155341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974650</v>
      </c>
      <c r="G503" s="42">
        <f>SUM(G501:G502)</f>
        <v>251381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1226031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876153</v>
      </c>
      <c r="G521" s="18">
        <v>0</v>
      </c>
      <c r="H521" s="18">
        <v>635138</v>
      </c>
      <c r="I521" s="18">
        <v>2675</v>
      </c>
      <c r="J521" s="18">
        <v>0</v>
      </c>
      <c r="K521" s="18">
        <v>21461</v>
      </c>
      <c r="L521" s="88">
        <f>SUM(F521:K521)</f>
        <v>1535427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482075</v>
      </c>
      <c r="G522" s="18">
        <v>147356</v>
      </c>
      <c r="H522" s="18">
        <v>383084</v>
      </c>
      <c r="I522" s="18">
        <v>2098</v>
      </c>
      <c r="J522" s="18">
        <v>1615</v>
      </c>
      <c r="K522" s="18">
        <v>12639</v>
      </c>
      <c r="L522" s="88">
        <f>SUM(F522:K522)</f>
        <v>1028867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512575</v>
      </c>
      <c r="G523" s="18">
        <v>173431</v>
      </c>
      <c r="H523" s="18">
        <v>475705</v>
      </c>
      <c r="I523" s="18">
        <v>8174</v>
      </c>
      <c r="J523" s="18">
        <v>2320</v>
      </c>
      <c r="K523" s="18">
        <v>15694</v>
      </c>
      <c r="L523" s="88">
        <f>SUM(F523:K523)</f>
        <v>1187899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1870803</v>
      </c>
      <c r="G524" s="108">
        <f t="shared" ref="G524:L524" si="36">SUM(G521:G523)</f>
        <v>320787</v>
      </c>
      <c r="H524" s="108">
        <f t="shared" si="36"/>
        <v>1493927</v>
      </c>
      <c r="I524" s="108">
        <f t="shared" si="36"/>
        <v>12947</v>
      </c>
      <c r="J524" s="108">
        <f t="shared" si="36"/>
        <v>3935</v>
      </c>
      <c r="K524" s="108">
        <f t="shared" si="36"/>
        <v>49794</v>
      </c>
      <c r="L524" s="89">
        <f t="shared" si="36"/>
        <v>3752193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135666</v>
      </c>
      <c r="G526" s="18">
        <v>54457</v>
      </c>
      <c r="H526" s="18">
        <v>24248</v>
      </c>
      <c r="I526" s="18">
        <v>3893</v>
      </c>
      <c r="J526" s="18">
        <v>1033</v>
      </c>
      <c r="K526" s="18"/>
      <c r="L526" s="88">
        <f>SUM(F526:K526)</f>
        <v>219297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81872</v>
      </c>
      <c r="G527" s="18">
        <v>32863</v>
      </c>
      <c r="H527" s="18">
        <v>14633</v>
      </c>
      <c r="I527" s="18">
        <v>2350</v>
      </c>
      <c r="J527" s="18">
        <v>624</v>
      </c>
      <c r="K527" s="18"/>
      <c r="L527" s="88">
        <f>SUM(F527:K527)</f>
        <v>132342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101666</v>
      </c>
      <c r="G528" s="18">
        <v>40809</v>
      </c>
      <c r="H528" s="18">
        <v>18171</v>
      </c>
      <c r="I528" s="18">
        <v>2918</v>
      </c>
      <c r="J528" s="18">
        <v>774</v>
      </c>
      <c r="K528" s="18"/>
      <c r="L528" s="88">
        <f>SUM(F528:K528)</f>
        <v>164338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319204</v>
      </c>
      <c r="G529" s="89">
        <f t="shared" ref="G529:L529" si="37">SUM(G526:G528)</f>
        <v>128129</v>
      </c>
      <c r="H529" s="89">
        <f t="shared" si="37"/>
        <v>57052</v>
      </c>
      <c r="I529" s="89">
        <f t="shared" si="37"/>
        <v>9161</v>
      </c>
      <c r="J529" s="89">
        <f t="shared" si="37"/>
        <v>2431</v>
      </c>
      <c r="K529" s="89">
        <f t="shared" si="37"/>
        <v>0</v>
      </c>
      <c r="L529" s="89">
        <f t="shared" si="37"/>
        <v>515977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106815</v>
      </c>
      <c r="G531" s="18">
        <v>55540</v>
      </c>
      <c r="H531" s="18"/>
      <c r="I531" s="18"/>
      <c r="J531" s="18"/>
      <c r="K531" s="18"/>
      <c r="L531" s="88">
        <f>SUM(F531:K531)</f>
        <v>162355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64460</v>
      </c>
      <c r="G532" s="18">
        <v>33518</v>
      </c>
      <c r="H532" s="18"/>
      <c r="I532" s="18"/>
      <c r="J532" s="18"/>
      <c r="K532" s="18"/>
      <c r="L532" s="88">
        <f>SUM(F532:K532)</f>
        <v>97978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80045</v>
      </c>
      <c r="G533" s="18">
        <v>41621</v>
      </c>
      <c r="H533" s="18"/>
      <c r="I533" s="18"/>
      <c r="J533" s="18"/>
      <c r="K533" s="18"/>
      <c r="L533" s="88">
        <f>SUM(F533:K533)</f>
        <v>121666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251320</v>
      </c>
      <c r="G534" s="89">
        <f t="shared" ref="G534:L534" si="38">SUM(G531:G533)</f>
        <v>130679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381999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25</v>
      </c>
      <c r="I536" s="18"/>
      <c r="J536" s="18"/>
      <c r="K536" s="18"/>
      <c r="L536" s="88">
        <f>SUM(F536:K536)</f>
        <v>25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v>15</v>
      </c>
      <c r="I537" s="18"/>
      <c r="J537" s="18"/>
      <c r="K537" s="18"/>
      <c r="L537" s="88">
        <f>SUM(F537:K537)</f>
        <v>15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19</v>
      </c>
      <c r="I538" s="18"/>
      <c r="J538" s="18"/>
      <c r="K538" s="18"/>
      <c r="L538" s="88">
        <f>SUM(F538:K538)</f>
        <v>19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59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59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86280</v>
      </c>
      <c r="I541" s="18"/>
      <c r="J541" s="18"/>
      <c r="K541" s="18"/>
      <c r="L541" s="88">
        <f>SUM(F541:K541)</f>
        <v>86280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52068</v>
      </c>
      <c r="I542" s="18"/>
      <c r="J542" s="18"/>
      <c r="K542" s="18"/>
      <c r="L542" s="88">
        <f>SUM(F542:K542)</f>
        <v>52068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64657</v>
      </c>
      <c r="I543" s="18"/>
      <c r="J543" s="18"/>
      <c r="K543" s="18"/>
      <c r="L543" s="88">
        <f>SUM(F543:K543)</f>
        <v>64657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203005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203005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2441327</v>
      </c>
      <c r="G545" s="89">
        <f t="shared" ref="G545:L545" si="41">G524+G529+G534+G539+G544</f>
        <v>579595</v>
      </c>
      <c r="H545" s="89">
        <f t="shared" si="41"/>
        <v>1754043</v>
      </c>
      <c r="I545" s="89">
        <f t="shared" si="41"/>
        <v>22108</v>
      </c>
      <c r="J545" s="89">
        <f t="shared" si="41"/>
        <v>6366</v>
      </c>
      <c r="K545" s="89">
        <f t="shared" si="41"/>
        <v>49794</v>
      </c>
      <c r="L545" s="89">
        <f t="shared" si="41"/>
        <v>4853233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1535427</v>
      </c>
      <c r="G549" s="87">
        <f>L526</f>
        <v>219297</v>
      </c>
      <c r="H549" s="87">
        <f>L531</f>
        <v>162355</v>
      </c>
      <c r="I549" s="87">
        <f>L536</f>
        <v>25</v>
      </c>
      <c r="J549" s="87">
        <f>L541</f>
        <v>86280</v>
      </c>
      <c r="K549" s="87">
        <f>SUM(F549:J549)</f>
        <v>2003384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1028867</v>
      </c>
      <c r="G550" s="87">
        <f>L527</f>
        <v>132342</v>
      </c>
      <c r="H550" s="87">
        <f>L532</f>
        <v>97978</v>
      </c>
      <c r="I550" s="87">
        <f>L537</f>
        <v>15</v>
      </c>
      <c r="J550" s="87">
        <f>L542</f>
        <v>52068</v>
      </c>
      <c r="K550" s="87">
        <f>SUM(F550:J550)</f>
        <v>1311270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1187899</v>
      </c>
      <c r="G551" s="87">
        <f>L528</f>
        <v>164338</v>
      </c>
      <c r="H551" s="87">
        <f>L533</f>
        <v>121666</v>
      </c>
      <c r="I551" s="87">
        <f>L538</f>
        <v>19</v>
      </c>
      <c r="J551" s="87">
        <f>L543</f>
        <v>64657</v>
      </c>
      <c r="K551" s="87">
        <f>SUM(F551:J551)</f>
        <v>1538579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3752193</v>
      </c>
      <c r="G552" s="89">
        <f t="shared" si="42"/>
        <v>515977</v>
      </c>
      <c r="H552" s="89">
        <f t="shared" si="42"/>
        <v>381999</v>
      </c>
      <c r="I552" s="89">
        <f t="shared" si="42"/>
        <v>59</v>
      </c>
      <c r="J552" s="89">
        <f t="shared" si="42"/>
        <v>203005</v>
      </c>
      <c r="K552" s="89">
        <f t="shared" si="42"/>
        <v>4853233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>
        <v>175371</v>
      </c>
      <c r="G557" s="18">
        <v>72683</v>
      </c>
      <c r="H557" s="18">
        <v>22043</v>
      </c>
      <c r="I557" s="18">
        <v>14319</v>
      </c>
      <c r="J557" s="18">
        <v>6274</v>
      </c>
      <c r="K557" s="18"/>
      <c r="L557" s="88">
        <f>SUM(F557:K557)</f>
        <v>290690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>
        <v>105833</v>
      </c>
      <c r="G558" s="18">
        <v>43862</v>
      </c>
      <c r="H558" s="18">
        <v>13303</v>
      </c>
      <c r="I558" s="18">
        <v>8641</v>
      </c>
      <c r="J558" s="18">
        <v>3786</v>
      </c>
      <c r="K558" s="18"/>
      <c r="L558" s="88">
        <f>SUM(F558:K558)</f>
        <v>175425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281204</v>
      </c>
      <c r="G560" s="108">
        <f t="shared" si="43"/>
        <v>116545</v>
      </c>
      <c r="H560" s="108">
        <f t="shared" si="43"/>
        <v>35346</v>
      </c>
      <c r="I560" s="108">
        <f t="shared" si="43"/>
        <v>22960</v>
      </c>
      <c r="J560" s="108">
        <f t="shared" si="43"/>
        <v>10060</v>
      </c>
      <c r="K560" s="108">
        <f t="shared" si="43"/>
        <v>0</v>
      </c>
      <c r="L560" s="89">
        <f t="shared" si="43"/>
        <v>466115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20942</v>
      </c>
      <c r="G562" s="18">
        <v>9186</v>
      </c>
      <c r="H562" s="18"/>
      <c r="I562" s="18">
        <v>60</v>
      </c>
      <c r="J562" s="18"/>
      <c r="K562" s="18"/>
      <c r="L562" s="88">
        <f>SUM(F562:K562)</f>
        <v>30188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>
        <v>12663</v>
      </c>
      <c r="G563" s="18">
        <v>5554</v>
      </c>
      <c r="H563" s="18"/>
      <c r="I563" s="18">
        <v>36</v>
      </c>
      <c r="J563" s="18"/>
      <c r="K563" s="18"/>
      <c r="L563" s="88">
        <f>SUM(F563:K563)</f>
        <v>18253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>
        <v>15098</v>
      </c>
      <c r="G564" s="18">
        <v>6623</v>
      </c>
      <c r="H564" s="18"/>
      <c r="I564" s="18">
        <v>43</v>
      </c>
      <c r="J564" s="18"/>
      <c r="K564" s="18"/>
      <c r="L564" s="88">
        <f>SUM(F564:K564)</f>
        <v>21764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48703</v>
      </c>
      <c r="G565" s="89">
        <f t="shared" si="44"/>
        <v>21363</v>
      </c>
      <c r="H565" s="89">
        <f t="shared" si="44"/>
        <v>0</v>
      </c>
      <c r="I565" s="89">
        <f t="shared" si="44"/>
        <v>139</v>
      </c>
      <c r="J565" s="89">
        <f t="shared" si="44"/>
        <v>0</v>
      </c>
      <c r="K565" s="89">
        <f t="shared" si="44"/>
        <v>0</v>
      </c>
      <c r="L565" s="89">
        <f t="shared" si="44"/>
        <v>70205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329907</v>
      </c>
      <c r="G571" s="89">
        <f t="shared" ref="G571:L571" si="46">G560+G565+G570</f>
        <v>137908</v>
      </c>
      <c r="H571" s="89">
        <f t="shared" si="46"/>
        <v>35346</v>
      </c>
      <c r="I571" s="89">
        <f t="shared" si="46"/>
        <v>23099</v>
      </c>
      <c r="J571" s="89">
        <f t="shared" si="46"/>
        <v>10060</v>
      </c>
      <c r="K571" s="89">
        <f t="shared" si="46"/>
        <v>0</v>
      </c>
      <c r="L571" s="89">
        <f t="shared" si="46"/>
        <v>536320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92417</v>
      </c>
      <c r="I575" s="87">
        <f>SUM(F575:H575)</f>
        <v>92417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23717</v>
      </c>
      <c r="G579" s="18">
        <v>15096</v>
      </c>
      <c r="H579" s="18">
        <v>5180</v>
      </c>
      <c r="I579" s="87">
        <f t="shared" si="47"/>
        <v>43993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190327</v>
      </c>
      <c r="G582" s="18">
        <v>92248</v>
      </c>
      <c r="H582" s="18">
        <v>173739</v>
      </c>
      <c r="I582" s="87">
        <f t="shared" si="47"/>
        <v>456314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174459</v>
      </c>
      <c r="I584" s="87">
        <f t="shared" si="47"/>
        <v>174459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271133</v>
      </c>
      <c r="I591" s="18">
        <v>163623</v>
      </c>
      <c r="J591" s="18">
        <v>183515</v>
      </c>
      <c r="K591" s="104">
        <f t="shared" ref="K591:K597" si="48">SUM(H591:J591)</f>
        <v>618271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86280</v>
      </c>
      <c r="I592" s="18">
        <v>52068</v>
      </c>
      <c r="J592" s="18">
        <v>64657</v>
      </c>
      <c r="K592" s="104">
        <f t="shared" si="48"/>
        <v>203005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19668</v>
      </c>
      <c r="K593" s="104">
        <f t="shared" si="48"/>
        <v>19668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10858</v>
      </c>
      <c r="J594" s="18">
        <v>43985</v>
      </c>
      <c r="K594" s="104">
        <f t="shared" si="48"/>
        <v>54843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5864</v>
      </c>
      <c r="I595" s="18">
        <v>6835</v>
      </c>
      <c r="J595" s="18">
        <v>4529</v>
      </c>
      <c r="K595" s="104">
        <f t="shared" si="48"/>
        <v>17228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363277</v>
      </c>
      <c r="I598" s="108">
        <f>SUM(I591:I597)</f>
        <v>233384</v>
      </c>
      <c r="J598" s="108">
        <f>SUM(J591:J597)</f>
        <v>316354</v>
      </c>
      <c r="K598" s="108">
        <f>SUM(K591:K597)</f>
        <v>913015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187514</v>
      </c>
      <c r="I604" s="18">
        <v>105590</v>
      </c>
      <c r="J604" s="18">
        <v>118004</v>
      </c>
      <c r="K604" s="104">
        <f>SUM(H604:J604)</f>
        <v>411108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187514</v>
      </c>
      <c r="I605" s="108">
        <f>SUM(I602:I604)</f>
        <v>105590</v>
      </c>
      <c r="J605" s="108">
        <f>SUM(J602:J604)</f>
        <v>118004</v>
      </c>
      <c r="K605" s="108">
        <f>SUM(K602:K604)</f>
        <v>411108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27819</v>
      </c>
      <c r="G611" s="18">
        <v>5261</v>
      </c>
      <c r="H611" s="18"/>
      <c r="I611" s="18"/>
      <c r="J611" s="18"/>
      <c r="K611" s="18"/>
      <c r="L611" s="88">
        <f>SUM(F611:K611)</f>
        <v>33080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19240</v>
      </c>
      <c r="G612" s="18">
        <v>3641</v>
      </c>
      <c r="H612" s="18"/>
      <c r="I612" s="18">
        <v>899</v>
      </c>
      <c r="J612" s="18"/>
      <c r="K612" s="18"/>
      <c r="L612" s="88">
        <f>SUM(F612:K612)</f>
        <v>23780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27394</v>
      </c>
      <c r="G613" s="18">
        <v>5567</v>
      </c>
      <c r="H613" s="18"/>
      <c r="I613" s="18"/>
      <c r="J613" s="18"/>
      <c r="K613" s="18"/>
      <c r="L613" s="88">
        <f>SUM(F613:K613)</f>
        <v>32961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74453</v>
      </c>
      <c r="G614" s="108">
        <f t="shared" si="49"/>
        <v>14469</v>
      </c>
      <c r="H614" s="108">
        <f t="shared" si="49"/>
        <v>0</v>
      </c>
      <c r="I614" s="108">
        <f t="shared" si="49"/>
        <v>899</v>
      </c>
      <c r="J614" s="108">
        <f t="shared" si="49"/>
        <v>0</v>
      </c>
      <c r="K614" s="108">
        <f t="shared" si="49"/>
        <v>0</v>
      </c>
      <c r="L614" s="89">
        <f t="shared" si="49"/>
        <v>89821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2130144</v>
      </c>
      <c r="H617" s="109">
        <f>SUM(F52)</f>
        <v>2130144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336362</v>
      </c>
      <c r="H618" s="109">
        <f>SUM(G52)</f>
        <v>336362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460334</v>
      </c>
      <c r="H619" s="109">
        <f>SUM(H52)</f>
        <v>460334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1335174</v>
      </c>
      <c r="H621" s="109">
        <f>SUM(J52)</f>
        <v>1335174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1277477</v>
      </c>
      <c r="H622" s="109">
        <f>F476</f>
        <v>1277477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190323</v>
      </c>
      <c r="H623" s="109">
        <f>G476</f>
        <v>190323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949307</v>
      </c>
      <c r="H626" s="109">
        <f>J476</f>
        <v>949307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23816219</v>
      </c>
      <c r="H627" s="104">
        <f>SUM(F468)</f>
        <v>23816219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595373</v>
      </c>
      <c r="H628" s="104">
        <f>SUM(G468)</f>
        <v>595373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1168058</v>
      </c>
      <c r="H629" s="104">
        <f>SUM(H468)</f>
        <v>1168058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524471</v>
      </c>
      <c r="H631" s="104">
        <f>SUM(J468)</f>
        <v>524471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24287997</v>
      </c>
      <c r="H632" s="104">
        <f>SUM(F472)</f>
        <v>24287997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1191209</v>
      </c>
      <c r="H633" s="104">
        <f>SUM(H472)</f>
        <v>1191209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278110</v>
      </c>
      <c r="H634" s="104">
        <f>I369</f>
        <v>278110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612749</v>
      </c>
      <c r="H635" s="104">
        <f>SUM(G472)</f>
        <v>612749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524471</v>
      </c>
      <c r="H637" s="164">
        <f>SUM(J468)</f>
        <v>524471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567522</v>
      </c>
      <c r="H638" s="164">
        <f>SUM(J472)</f>
        <v>567522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1335174</v>
      </c>
      <c r="H640" s="104">
        <f>SUM(G461)</f>
        <v>1335174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1335174</v>
      </c>
      <c r="H642" s="104">
        <f>SUM(I461)</f>
        <v>1335174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1971</v>
      </c>
      <c r="H644" s="104">
        <f>H408</f>
        <v>1971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472500</v>
      </c>
      <c r="H645" s="104">
        <f>G408</f>
        <v>472500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524471</v>
      </c>
      <c r="H646" s="104">
        <f>L408</f>
        <v>524471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913015</v>
      </c>
      <c r="H647" s="104">
        <f>L208+L226+L244</f>
        <v>913015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411108</v>
      </c>
      <c r="H648" s="104">
        <f>(J257+J338)-(J255+J336)</f>
        <v>411108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363277</v>
      </c>
      <c r="H649" s="104">
        <f>H598</f>
        <v>363277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233384</v>
      </c>
      <c r="H650" s="104">
        <f>I598</f>
        <v>233384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316354</v>
      </c>
      <c r="H651" s="104">
        <f>J598</f>
        <v>316354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472500</v>
      </c>
      <c r="H655" s="104">
        <f>K266+K347</f>
        <v>472500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10385398</v>
      </c>
      <c r="G660" s="19">
        <f>(L229+L309+L359)</f>
        <v>5914463</v>
      </c>
      <c r="H660" s="19">
        <f>(L247+L328+L360)</f>
        <v>8027792</v>
      </c>
      <c r="I660" s="19">
        <f>SUM(F660:H660)</f>
        <v>24327653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135418.17516634054</v>
      </c>
      <c r="G661" s="19">
        <f>(L359/IF(SUM(L358:L360)=0,1,SUM(L358:L360))*(SUM(G97:G110)))</f>
        <v>71121.829762268069</v>
      </c>
      <c r="H661" s="19">
        <f>(L360/IF(SUM(L358:L360)=0,1,SUM(L358:L360))*(SUM(G97:G110)))</f>
        <v>92174.9950713914</v>
      </c>
      <c r="I661" s="19">
        <f>SUM(F661:H661)</f>
        <v>298715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387017</v>
      </c>
      <c r="G662" s="19">
        <f>(L226+L306)-(J226+J306)</f>
        <v>247711</v>
      </c>
      <c r="H662" s="19">
        <f>(L244+L325)-(J244+J325)</f>
        <v>316354</v>
      </c>
      <c r="I662" s="19">
        <f>SUM(F662:H662)</f>
        <v>951082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434638</v>
      </c>
      <c r="G663" s="199">
        <f>SUM(G575:G587)+SUM(I602:I604)+L612</f>
        <v>236714</v>
      </c>
      <c r="H663" s="199">
        <f>SUM(H575:H587)+SUM(J602:J604)+L613</f>
        <v>596760</v>
      </c>
      <c r="I663" s="19">
        <f>SUM(F663:H663)</f>
        <v>1268112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9428324.8248336595</v>
      </c>
      <c r="G664" s="19">
        <f>G660-SUM(G661:G663)</f>
        <v>5358916.1702377321</v>
      </c>
      <c r="H664" s="19">
        <f>H660-SUM(H661:H663)</f>
        <v>7022503.0049286084</v>
      </c>
      <c r="I664" s="19">
        <f>I660-SUM(I661:I663)</f>
        <v>21809744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581.80999999999995</v>
      </c>
      <c r="G665" s="248">
        <v>351.11</v>
      </c>
      <c r="H665" s="248">
        <v>436</v>
      </c>
      <c r="I665" s="19">
        <f>SUM(F665:H665)</f>
        <v>1368.92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16205.16</v>
      </c>
      <c r="G667" s="19">
        <f>ROUND(G664/G665,2)</f>
        <v>15262.78</v>
      </c>
      <c r="H667" s="19">
        <f>ROUND(H664/H665,2)</f>
        <v>16106.66</v>
      </c>
      <c r="I667" s="19">
        <f>ROUND(I664/I665,2)</f>
        <v>15932.08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-15.49</v>
      </c>
      <c r="I670" s="19">
        <f>SUM(F670:H670)</f>
        <v>-15.49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16205.16</v>
      </c>
      <c r="G672" s="19">
        <f>ROUND((G664+G669)/(G665+G670),2)</f>
        <v>15262.78</v>
      </c>
      <c r="H672" s="19">
        <f>ROUND((H664+H669)/(H665+H670),2)</f>
        <v>16699.97</v>
      </c>
      <c r="I672" s="19">
        <f>ROUND((I664+I669)/(I665+I670),2)</f>
        <v>16114.42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E45" sqref="E4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Winnisquam Regional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5602953</v>
      </c>
      <c r="C9" s="229">
        <f>'DOE25'!G197+'DOE25'!G215+'DOE25'!G233+'DOE25'!G276+'DOE25'!G295+'DOE25'!G314</f>
        <v>2637408</v>
      </c>
    </row>
    <row r="10" spans="1:3" x14ac:dyDescent="0.2">
      <c r="A10" t="s">
        <v>778</v>
      </c>
      <c r="B10" s="240">
        <v>5113166</v>
      </c>
      <c r="C10" s="240">
        <v>2609081</v>
      </c>
    </row>
    <row r="11" spans="1:3" x14ac:dyDescent="0.2">
      <c r="A11" t="s">
        <v>779</v>
      </c>
      <c r="B11" s="240">
        <v>227986</v>
      </c>
      <c r="C11" s="240">
        <v>26121</v>
      </c>
    </row>
    <row r="12" spans="1:3" x14ac:dyDescent="0.2">
      <c r="A12" t="s">
        <v>780</v>
      </c>
      <c r="B12" s="240">
        <v>261801</v>
      </c>
      <c r="C12" s="240">
        <v>2206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5602953</v>
      </c>
      <c r="C13" s="231">
        <f>SUM(C10:C12)</f>
        <v>2637408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1875003</v>
      </c>
      <c r="C18" s="229">
        <f>'DOE25'!G198+'DOE25'!G216+'DOE25'!G234+'DOE25'!G277+'DOE25'!G296+'DOE25'!G315</f>
        <v>661281</v>
      </c>
    </row>
    <row r="19" spans="1:3" x14ac:dyDescent="0.2">
      <c r="A19" t="s">
        <v>778</v>
      </c>
      <c r="B19" s="240">
        <v>845558</v>
      </c>
      <c r="C19" s="240">
        <v>500996</v>
      </c>
    </row>
    <row r="20" spans="1:3" x14ac:dyDescent="0.2">
      <c r="A20" t="s">
        <v>779</v>
      </c>
      <c r="B20" s="240">
        <v>885915</v>
      </c>
      <c r="C20" s="240">
        <v>147756</v>
      </c>
    </row>
    <row r="21" spans="1:3" x14ac:dyDescent="0.2">
      <c r="A21" t="s">
        <v>780</v>
      </c>
      <c r="B21" s="240">
        <v>143530</v>
      </c>
      <c r="C21" s="240">
        <v>12529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1875003</v>
      </c>
      <c r="C22" s="231">
        <f>SUM(C19:C21)</f>
        <v>661281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222001</v>
      </c>
      <c r="C27" s="234">
        <f>'DOE25'!G199+'DOE25'!G217+'DOE25'!G235+'DOE25'!G278+'DOE25'!G297+'DOE25'!G316</f>
        <v>83974</v>
      </c>
    </row>
    <row r="28" spans="1:3" x14ac:dyDescent="0.2">
      <c r="A28" t="s">
        <v>778</v>
      </c>
      <c r="B28" s="240">
        <v>204017</v>
      </c>
      <c r="C28" s="240">
        <v>75146</v>
      </c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>
        <v>17984</v>
      </c>
      <c r="C30" s="240">
        <v>8828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222001</v>
      </c>
      <c r="C31" s="231">
        <f>SUM(C28:C30)</f>
        <v>83974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275408</v>
      </c>
      <c r="C36" s="235">
        <f>'DOE25'!G200+'DOE25'!G218+'DOE25'!G236+'DOE25'!G279+'DOE25'!G298+'DOE25'!G317</f>
        <v>54215</v>
      </c>
    </row>
    <row r="37" spans="1:3" x14ac:dyDescent="0.2">
      <c r="A37" t="s">
        <v>778</v>
      </c>
      <c r="B37" s="240">
        <v>182195</v>
      </c>
      <c r="C37" s="240">
        <v>47084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93213</v>
      </c>
      <c r="C39" s="240">
        <v>7131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275408</v>
      </c>
      <c r="C40" s="231">
        <f>SUM(C37:C39)</f>
        <v>54215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Winnisquam Regional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12947499</v>
      </c>
      <c r="D5" s="20">
        <f>SUM('DOE25'!L197:L200)+SUM('DOE25'!L215:L218)+SUM('DOE25'!L233:L236)-F5-G5</f>
        <v>12807884</v>
      </c>
      <c r="E5" s="243"/>
      <c r="F5" s="255">
        <f>SUM('DOE25'!J197:J200)+SUM('DOE25'!J215:J218)+SUM('DOE25'!J233:J236)</f>
        <v>70246</v>
      </c>
      <c r="G5" s="53">
        <f>SUM('DOE25'!K197:K200)+SUM('DOE25'!K215:K218)+SUM('DOE25'!K233:K236)</f>
        <v>69369</v>
      </c>
      <c r="H5" s="259"/>
    </row>
    <row r="6" spans="1:9" x14ac:dyDescent="0.2">
      <c r="A6" s="32">
        <v>2100</v>
      </c>
      <c r="B6" t="s">
        <v>800</v>
      </c>
      <c r="C6" s="245">
        <f t="shared" si="0"/>
        <v>1575199</v>
      </c>
      <c r="D6" s="20">
        <f>'DOE25'!L202+'DOE25'!L220+'DOE25'!L238-F6-G6</f>
        <v>1570772</v>
      </c>
      <c r="E6" s="243"/>
      <c r="F6" s="255">
        <f>'DOE25'!J202+'DOE25'!J220+'DOE25'!J238</f>
        <v>3546</v>
      </c>
      <c r="G6" s="53">
        <f>'DOE25'!K202+'DOE25'!K220+'DOE25'!K238</f>
        <v>881</v>
      </c>
      <c r="H6" s="259"/>
    </row>
    <row r="7" spans="1:9" x14ac:dyDescent="0.2">
      <c r="A7" s="32">
        <v>2200</v>
      </c>
      <c r="B7" t="s">
        <v>833</v>
      </c>
      <c r="C7" s="245">
        <f t="shared" si="0"/>
        <v>915824</v>
      </c>
      <c r="D7" s="20">
        <f>'DOE25'!L203+'DOE25'!L221+'DOE25'!L239-F7-G7</f>
        <v>914555</v>
      </c>
      <c r="E7" s="243"/>
      <c r="F7" s="255">
        <f>'DOE25'!J203+'DOE25'!J221+'DOE25'!J239</f>
        <v>788</v>
      </c>
      <c r="G7" s="53">
        <f>'DOE25'!K203+'DOE25'!K221+'DOE25'!K239</f>
        <v>481</v>
      </c>
      <c r="H7" s="259"/>
    </row>
    <row r="8" spans="1:9" x14ac:dyDescent="0.2">
      <c r="A8" s="32">
        <v>2300</v>
      </c>
      <c r="B8" t="s">
        <v>801</v>
      </c>
      <c r="C8" s="245">
        <f t="shared" si="0"/>
        <v>1256478</v>
      </c>
      <c r="D8" s="243"/>
      <c r="E8" s="20">
        <f>'DOE25'!L204+'DOE25'!L222+'DOE25'!L240-F8-G8-D9-D11</f>
        <v>1050594</v>
      </c>
      <c r="F8" s="255">
        <f>'DOE25'!J204+'DOE25'!J222+'DOE25'!J240</f>
        <v>198222</v>
      </c>
      <c r="G8" s="53">
        <f>'DOE25'!K204+'DOE25'!K222+'DOE25'!K240</f>
        <v>7662</v>
      </c>
      <c r="H8" s="259"/>
    </row>
    <row r="9" spans="1:9" x14ac:dyDescent="0.2">
      <c r="A9" s="32">
        <v>2310</v>
      </c>
      <c r="B9" t="s">
        <v>817</v>
      </c>
      <c r="C9" s="245">
        <f t="shared" si="0"/>
        <v>198151</v>
      </c>
      <c r="D9" s="244">
        <v>198151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18600</v>
      </c>
      <c r="D10" s="243"/>
      <c r="E10" s="244">
        <v>18600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451482</v>
      </c>
      <c r="D11" s="244">
        <v>451482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1506510</v>
      </c>
      <c r="D12" s="20">
        <f>'DOE25'!L205+'DOE25'!L223+'DOE25'!L241-F12-G12</f>
        <v>1499353</v>
      </c>
      <c r="E12" s="243"/>
      <c r="F12" s="255">
        <f>'DOE25'!J205+'DOE25'!J223+'DOE25'!J241</f>
        <v>0</v>
      </c>
      <c r="G12" s="53">
        <f>'DOE25'!K205+'DOE25'!K223+'DOE25'!K241</f>
        <v>7157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390371</v>
      </c>
      <c r="D13" s="243"/>
      <c r="E13" s="20">
        <f>'DOE25'!L206+'DOE25'!L224+'DOE25'!L242-F13-G13</f>
        <v>390371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2355306</v>
      </c>
      <c r="D14" s="20">
        <f>'DOE25'!L207+'DOE25'!L225+'DOE25'!L243-F14-G14</f>
        <v>2242945</v>
      </c>
      <c r="E14" s="243"/>
      <c r="F14" s="255">
        <f>'DOE25'!J207+'DOE25'!J225+'DOE25'!J243</f>
        <v>110339</v>
      </c>
      <c r="G14" s="53">
        <f>'DOE25'!K207+'DOE25'!K225+'DOE25'!K243</f>
        <v>2022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913015</v>
      </c>
      <c r="D15" s="20">
        <f>'DOE25'!L208+'DOE25'!L226+'DOE25'!L244-F15-G15</f>
        <v>913015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42001</v>
      </c>
      <c r="D16" s="243"/>
      <c r="E16" s="20">
        <f>'DOE25'!L209+'DOE25'!L227+'DOE25'!L245-F16-G16</f>
        <v>42001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1263661</v>
      </c>
      <c r="D25" s="243"/>
      <c r="E25" s="243"/>
      <c r="F25" s="258"/>
      <c r="G25" s="256"/>
      <c r="H25" s="257">
        <f>'DOE25'!L260+'DOE25'!L261+'DOE25'!L341+'DOE25'!L342</f>
        <v>1263661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351934</v>
      </c>
      <c r="D29" s="20">
        <f>'DOE25'!L358+'DOE25'!L359+'DOE25'!L360-'DOE25'!I367-F29-G29</f>
        <v>336693</v>
      </c>
      <c r="E29" s="243"/>
      <c r="F29" s="255">
        <f>'DOE25'!J358+'DOE25'!J359+'DOE25'!J360</f>
        <v>11040</v>
      </c>
      <c r="G29" s="53">
        <f>'DOE25'!K358+'DOE25'!K359+'DOE25'!K360</f>
        <v>4201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1163068</v>
      </c>
      <c r="D31" s="20">
        <f>'DOE25'!L290+'DOE25'!L309+'DOE25'!L328+'DOE25'!L333+'DOE25'!L334+'DOE25'!L335-F31-G31</f>
        <v>1123988</v>
      </c>
      <c r="E31" s="243"/>
      <c r="F31" s="255">
        <f>'DOE25'!J290+'DOE25'!J309+'DOE25'!J328+'DOE25'!J333+'DOE25'!J334+'DOE25'!J335</f>
        <v>27967</v>
      </c>
      <c r="G31" s="53">
        <f>'DOE25'!K290+'DOE25'!K309+'DOE25'!K328+'DOE25'!K333+'DOE25'!K334+'DOE25'!K335</f>
        <v>11113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22058838</v>
      </c>
      <c r="E33" s="246">
        <f>SUM(E5:E31)</f>
        <v>1501566</v>
      </c>
      <c r="F33" s="246">
        <f>SUM(F5:F31)</f>
        <v>422148</v>
      </c>
      <c r="G33" s="246">
        <f>SUM(G5:G31)</f>
        <v>102886</v>
      </c>
      <c r="H33" s="246">
        <f>SUM(H5:H31)</f>
        <v>1263661</v>
      </c>
    </row>
    <row r="35" spans="2:8" ht="12" thickBot="1" x14ac:dyDescent="0.25">
      <c r="B35" s="253" t="s">
        <v>846</v>
      </c>
      <c r="D35" s="254">
        <f>E33</f>
        <v>1501566</v>
      </c>
      <c r="E35" s="249"/>
    </row>
    <row r="36" spans="2:8" ht="12" thickTop="1" x14ac:dyDescent="0.2">
      <c r="B36" t="s">
        <v>814</v>
      </c>
      <c r="D36" s="20">
        <f>D33</f>
        <v>22058838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136" zoomScaleNormal="136" workbookViewId="0">
      <pane ySplit="2" topLeftCell="A83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Winnisquam Regional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942633</v>
      </c>
      <c r="D8" s="95">
        <f>'DOE25'!G9</f>
        <v>300866</v>
      </c>
      <c r="E8" s="95">
        <f>'DOE25'!H9</f>
        <v>0</v>
      </c>
      <c r="F8" s="95">
        <f>'DOE25'!I9</f>
        <v>0</v>
      </c>
      <c r="G8" s="95">
        <f>'DOE25'!J9</f>
        <v>1303373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914015</v>
      </c>
      <c r="D11" s="95">
        <f>'DOE25'!G12</f>
        <v>0</v>
      </c>
      <c r="E11" s="95">
        <f>'DOE25'!H12</f>
        <v>13415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13563</v>
      </c>
      <c r="D12" s="95">
        <f>'DOE25'!G13</f>
        <v>22189</v>
      </c>
      <c r="E12" s="95">
        <f>'DOE25'!H13</f>
        <v>446919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232494</v>
      </c>
      <c r="D13" s="95">
        <f>'DOE25'!G14</f>
        <v>13307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27439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31801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2130144</v>
      </c>
      <c r="D18" s="41">
        <f>SUM(D8:D17)</f>
        <v>336362</v>
      </c>
      <c r="E18" s="41">
        <f>SUM(E8:E17)</f>
        <v>460334</v>
      </c>
      <c r="F18" s="41">
        <f>SUM(F8:F17)</f>
        <v>0</v>
      </c>
      <c r="G18" s="41">
        <f>SUM(G8:G17)</f>
        <v>1335174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131217</v>
      </c>
      <c r="E21" s="95">
        <f>'DOE25'!H22</f>
        <v>428103</v>
      </c>
      <c r="F21" s="95">
        <f>'DOE25'!I22</f>
        <v>0</v>
      </c>
      <c r="G21" s="95">
        <f>'DOE25'!J22</f>
        <v>367182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240172</v>
      </c>
      <c r="D23" s="95">
        <f>'DOE25'!G24</f>
        <v>4000</v>
      </c>
      <c r="E23" s="95">
        <f>'DOE25'!H24</f>
        <v>12726</v>
      </c>
      <c r="F23" s="95">
        <f>'DOE25'!I24</f>
        <v>0</v>
      </c>
      <c r="G23" s="95">
        <f>'DOE25'!J24</f>
        <v>18685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89521</v>
      </c>
      <c r="D27" s="95">
        <f>'DOE25'!G28</f>
        <v>0</v>
      </c>
      <c r="E27" s="95">
        <f>'DOE25'!H28</f>
        <v>6413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522974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10822</v>
      </c>
      <c r="E29" s="95">
        <f>'DOE25'!H30</f>
        <v>13092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852667</v>
      </c>
      <c r="D31" s="41">
        <f>SUM(D21:D30)</f>
        <v>146039</v>
      </c>
      <c r="E31" s="41">
        <f>SUM(E21:E30)</f>
        <v>460334</v>
      </c>
      <c r="F31" s="41">
        <f>SUM(F21:F30)</f>
        <v>0</v>
      </c>
      <c r="G31" s="41">
        <f>SUM(G21:G30)</f>
        <v>385867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190323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500000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176706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949307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600771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1277477</v>
      </c>
      <c r="D50" s="41">
        <f>SUM(D34:D49)</f>
        <v>190323</v>
      </c>
      <c r="E50" s="41">
        <f>SUM(E34:E49)</f>
        <v>0</v>
      </c>
      <c r="F50" s="41">
        <f>SUM(F34:F49)</f>
        <v>0</v>
      </c>
      <c r="G50" s="41">
        <f>SUM(G34:G49)</f>
        <v>949307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2130144</v>
      </c>
      <c r="D51" s="41">
        <f>D50+D31</f>
        <v>336362</v>
      </c>
      <c r="E51" s="41">
        <f>E50+E31</f>
        <v>460334</v>
      </c>
      <c r="F51" s="41">
        <f>F50+F31</f>
        <v>0</v>
      </c>
      <c r="G51" s="41">
        <f>G50+G31</f>
        <v>1335174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13265486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127147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11659</v>
      </c>
      <c r="D59" s="95">
        <f>'DOE25'!G96</f>
        <v>0</v>
      </c>
      <c r="E59" s="95">
        <f>'DOE25'!H96</f>
        <v>9</v>
      </c>
      <c r="F59" s="95">
        <f>'DOE25'!I96</f>
        <v>0</v>
      </c>
      <c r="G59" s="95">
        <f>'DOE25'!J96</f>
        <v>1971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298715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166396</v>
      </c>
      <c r="D61" s="95">
        <f>SUM('DOE25'!G98:G110)</f>
        <v>0</v>
      </c>
      <c r="E61" s="95">
        <f>SUM('DOE25'!H98:H110)</f>
        <v>7492</v>
      </c>
      <c r="F61" s="95">
        <f>SUM('DOE25'!I98:I110)</f>
        <v>0</v>
      </c>
      <c r="G61" s="95">
        <f>SUM('DOE25'!J98:J110)</f>
        <v>50000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305202</v>
      </c>
      <c r="D62" s="130">
        <f>SUM(D57:D61)</f>
        <v>298715</v>
      </c>
      <c r="E62" s="130">
        <f>SUM(E57:E61)</f>
        <v>7501</v>
      </c>
      <c r="F62" s="130">
        <f>SUM(F57:F61)</f>
        <v>0</v>
      </c>
      <c r="G62" s="130">
        <f>SUM(G57:G61)</f>
        <v>51971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13570688</v>
      </c>
      <c r="D63" s="22">
        <f>D56+D62</f>
        <v>298715</v>
      </c>
      <c r="E63" s="22">
        <f>E56+E62</f>
        <v>7501</v>
      </c>
      <c r="F63" s="22">
        <f>F56+F62</f>
        <v>0</v>
      </c>
      <c r="G63" s="22">
        <f>G56+G62</f>
        <v>51971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6535460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2714530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3487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9253477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610569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22328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56715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9623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689612</v>
      </c>
      <c r="D78" s="130">
        <f>SUM(D72:D77)</f>
        <v>9623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9943089</v>
      </c>
      <c r="D81" s="130">
        <f>SUM(D79:D80)+D78+D70</f>
        <v>9623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223592</v>
      </c>
      <c r="D88" s="95">
        <f>SUM('DOE25'!G153:G161)</f>
        <v>287035</v>
      </c>
      <c r="E88" s="95">
        <f>SUM('DOE25'!H153:H161)</f>
        <v>1160557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223592</v>
      </c>
      <c r="D91" s="131">
        <f>SUM(D85:D90)</f>
        <v>287035</v>
      </c>
      <c r="E91" s="131">
        <f>SUM(E85:E90)</f>
        <v>1160557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472500</v>
      </c>
    </row>
    <row r="97" spans="1:7" x14ac:dyDescent="0.2">
      <c r="A97" t="s">
        <v>757</v>
      </c>
      <c r="B97" s="32" t="s">
        <v>188</v>
      </c>
      <c r="C97" s="95">
        <f>SUM('DOE25'!F180:F181)</f>
        <v>28850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50000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78850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472500</v>
      </c>
    </row>
    <row r="104" spans="1:7" ht="12.75" thickTop="1" thickBot="1" x14ac:dyDescent="0.25">
      <c r="A104" s="33" t="s">
        <v>764</v>
      </c>
      <c r="C104" s="86">
        <f>C63+C81+C91+C103</f>
        <v>23816219</v>
      </c>
      <c r="D104" s="86">
        <f>D63+D81+D91+D103</f>
        <v>595373</v>
      </c>
      <c r="E104" s="86">
        <f>E63+E81+E91+E103</f>
        <v>1168058</v>
      </c>
      <c r="F104" s="86">
        <f>F63+F81+F91+F103</f>
        <v>0</v>
      </c>
      <c r="G104" s="86">
        <f>G63+G81+G103</f>
        <v>524471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8202768</v>
      </c>
      <c r="D109" s="24" t="s">
        <v>288</v>
      </c>
      <c r="E109" s="95">
        <f>('DOE25'!L276)+('DOE25'!L295)+('DOE25'!L314)</f>
        <v>426182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3798671</v>
      </c>
      <c r="D110" s="24" t="s">
        <v>288</v>
      </c>
      <c r="E110" s="95">
        <f>('DOE25'!L277)+('DOE25'!L296)+('DOE25'!L315)</f>
        <v>306330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472802</v>
      </c>
      <c r="D111" s="24" t="s">
        <v>288</v>
      </c>
      <c r="E111" s="95">
        <f>('DOE25'!L278)+('DOE25'!L297)+('DOE25'!L316)</f>
        <v>69751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473258</v>
      </c>
      <c r="D112" s="24" t="s">
        <v>288</v>
      </c>
      <c r="E112" s="95">
        <f>+('DOE25'!L279)+('DOE25'!L298)+('DOE25'!L317)</f>
        <v>41030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12947499</v>
      </c>
      <c r="D115" s="86">
        <f>SUM(D109:D114)</f>
        <v>0</v>
      </c>
      <c r="E115" s="86">
        <f>SUM(E109:E114)</f>
        <v>843293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1575199</v>
      </c>
      <c r="D118" s="24" t="s">
        <v>288</v>
      </c>
      <c r="E118" s="95">
        <f>+('DOE25'!L281)+('DOE25'!L300)+('DOE25'!L319)</f>
        <v>149164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915824</v>
      </c>
      <c r="D119" s="24" t="s">
        <v>288</v>
      </c>
      <c r="E119" s="95">
        <f>+('DOE25'!L282)+('DOE25'!L301)+('DOE25'!L320)</f>
        <v>51930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1906111</v>
      </c>
      <c r="D120" s="24" t="s">
        <v>288</v>
      </c>
      <c r="E120" s="95">
        <f>+('DOE25'!L283)+('DOE25'!L302)+('DOE25'!L321)</f>
        <v>53448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1506510</v>
      </c>
      <c r="D121" s="24" t="s">
        <v>288</v>
      </c>
      <c r="E121" s="95">
        <f>+('DOE25'!L284)+('DOE25'!L303)+('DOE25'!L322)</f>
        <v>3665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390371</v>
      </c>
      <c r="D122" s="24" t="s">
        <v>288</v>
      </c>
      <c r="E122" s="95">
        <f>+('DOE25'!L285)+('DOE25'!L304)+('DOE25'!L323)</f>
        <v>7450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2355306</v>
      </c>
      <c r="D123" s="24" t="s">
        <v>288</v>
      </c>
      <c r="E123" s="95">
        <f>+('DOE25'!L286)+('DOE25'!L305)+('DOE25'!L324)</f>
        <v>16051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913015</v>
      </c>
      <c r="D124" s="24" t="s">
        <v>288</v>
      </c>
      <c r="E124" s="95">
        <f>+('DOE25'!L287)+('DOE25'!L306)+('DOE25'!L325)</f>
        <v>38067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42001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612749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9604337</v>
      </c>
      <c r="D128" s="86">
        <f>SUM(D118:D127)</f>
        <v>612749</v>
      </c>
      <c r="E128" s="86">
        <f>SUM(E118:E127)</f>
        <v>319775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1079674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183987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28141</v>
      </c>
      <c r="F134" s="95">
        <f>'DOE25'!K381</f>
        <v>0</v>
      </c>
      <c r="G134" s="95">
        <f>'DOE25'!K434</f>
        <v>50000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524134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337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-51971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1736161</v>
      </c>
      <c r="D144" s="141">
        <f>SUM(D130:D143)</f>
        <v>0</v>
      </c>
      <c r="E144" s="141">
        <f>SUM(E130:E143)</f>
        <v>28141</v>
      </c>
      <c r="F144" s="141">
        <f>SUM(F130:F143)</f>
        <v>0</v>
      </c>
      <c r="G144" s="141">
        <f>SUM(G130:G143)</f>
        <v>50000</v>
      </c>
    </row>
    <row r="145" spans="1:9" ht="12.75" thickTop="1" thickBot="1" x14ac:dyDescent="0.25">
      <c r="A145" s="33" t="s">
        <v>244</v>
      </c>
      <c r="C145" s="86">
        <f>(C115+C128+C144)</f>
        <v>24287997</v>
      </c>
      <c r="D145" s="86">
        <f>(D115+D128+D144)</f>
        <v>612749</v>
      </c>
      <c r="E145" s="86">
        <f>(E115+E128+E144)</f>
        <v>1191209</v>
      </c>
      <c r="F145" s="86">
        <f>(F115+F128+F144)</f>
        <v>0</v>
      </c>
      <c r="G145" s="86">
        <f>(G115+G128+G144)</f>
        <v>50000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15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3/11</v>
      </c>
      <c r="C152" s="152" t="str">
        <f>'DOE25'!G491</f>
        <v>11/09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8/21</v>
      </c>
      <c r="C153" s="152" t="str">
        <f>'DOE25'!G492</f>
        <v>12/25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8625000</v>
      </c>
      <c r="C154" s="137">
        <f>'DOE25'!G493</f>
        <v>3996240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3.19</v>
      </c>
      <c r="C155" s="137">
        <f>'DOE25'!G494</f>
        <v>1.4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4935000</v>
      </c>
      <c r="C156" s="137">
        <f>'DOE25'!G495</f>
        <v>2059755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6994755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855000</v>
      </c>
      <c r="C158" s="137">
        <f>'DOE25'!G497</f>
        <v>224674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1079674</v>
      </c>
    </row>
    <row r="159" spans="1:9" x14ac:dyDescent="0.2">
      <c r="A159" s="22" t="s">
        <v>35</v>
      </c>
      <c r="B159" s="137">
        <f>'DOE25'!F498</f>
        <v>4080000</v>
      </c>
      <c r="C159" s="137">
        <f>'DOE25'!G498</f>
        <v>1835081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5915081</v>
      </c>
    </row>
    <row r="160" spans="1:9" x14ac:dyDescent="0.2">
      <c r="A160" s="22" t="s">
        <v>36</v>
      </c>
      <c r="B160" s="137">
        <f>'DOE25'!F499</f>
        <v>383762</v>
      </c>
      <c r="C160" s="137">
        <f>'DOE25'!G499</f>
        <v>116237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499999</v>
      </c>
    </row>
    <row r="161" spans="1:7" x14ac:dyDescent="0.2">
      <c r="A161" s="22" t="s">
        <v>37</v>
      </c>
      <c r="B161" s="137">
        <f>'DOE25'!F500</f>
        <v>4463762</v>
      </c>
      <c r="C161" s="137">
        <f>'DOE25'!G500</f>
        <v>1951318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6415080</v>
      </c>
    </row>
    <row r="162" spans="1:7" x14ac:dyDescent="0.2">
      <c r="A162" s="22" t="s">
        <v>38</v>
      </c>
      <c r="B162" s="137">
        <f>'DOE25'!F501</f>
        <v>845000</v>
      </c>
      <c r="C162" s="137">
        <f>'DOE25'!G501</f>
        <v>225690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1070690</v>
      </c>
    </row>
    <row r="163" spans="1:7" x14ac:dyDescent="0.2">
      <c r="A163" s="22" t="s">
        <v>39</v>
      </c>
      <c r="B163" s="137">
        <f>'DOE25'!F502</f>
        <v>129650</v>
      </c>
      <c r="C163" s="137">
        <f>'DOE25'!G502</f>
        <v>25691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155341</v>
      </c>
    </row>
    <row r="164" spans="1:7" x14ac:dyDescent="0.2">
      <c r="A164" s="22" t="s">
        <v>246</v>
      </c>
      <c r="B164" s="137">
        <f>'DOE25'!F503</f>
        <v>974650</v>
      </c>
      <c r="C164" s="137">
        <f>'DOE25'!G503</f>
        <v>251381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1226031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Winnisquam Regional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16205</v>
      </c>
    </row>
    <row r="5" spans="1:4" x14ac:dyDescent="0.2">
      <c r="B5" t="s">
        <v>703</v>
      </c>
      <c r="C5" s="179">
        <f>IF('DOE25'!G665+'DOE25'!G670=0,0,ROUND('DOE25'!G672,0))</f>
        <v>15263</v>
      </c>
    </row>
    <row r="6" spans="1:4" x14ac:dyDescent="0.2">
      <c r="B6" t="s">
        <v>62</v>
      </c>
      <c r="C6" s="179">
        <f>IF('DOE25'!H665+'DOE25'!H670=0,0,ROUND('DOE25'!H672,0))</f>
        <v>16700</v>
      </c>
    </row>
    <row r="7" spans="1:4" x14ac:dyDescent="0.2">
      <c r="B7" t="s">
        <v>704</v>
      </c>
      <c r="C7" s="179">
        <f>IF('DOE25'!I665+'DOE25'!I670=0,0,ROUND('DOE25'!I672,0))</f>
        <v>16114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8628950</v>
      </c>
      <c r="D10" s="182">
        <f>ROUND((C10/$C$28)*100,1)</f>
        <v>35.6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4105001</v>
      </c>
      <c r="D11" s="182">
        <f>ROUND((C11/$C$28)*100,1)</f>
        <v>17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542553</v>
      </c>
      <c r="D12" s="182">
        <f>ROUND((C12/$C$28)*100,1)</f>
        <v>2.2000000000000002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514288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1724363</v>
      </c>
      <c r="D15" s="182">
        <f t="shared" ref="D15:D27" si="0">ROUND((C15/$C$28)*100,1)</f>
        <v>7.1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967754</v>
      </c>
      <c r="D16" s="182">
        <f t="shared" si="0"/>
        <v>4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2001560</v>
      </c>
      <c r="D17" s="182">
        <f t="shared" si="0"/>
        <v>8.3000000000000007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1510175</v>
      </c>
      <c r="D18" s="182">
        <f t="shared" si="0"/>
        <v>6.2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397821</v>
      </c>
      <c r="D19" s="182">
        <f t="shared" si="0"/>
        <v>1.6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2371357</v>
      </c>
      <c r="D20" s="182">
        <f t="shared" si="0"/>
        <v>9.8000000000000007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951082</v>
      </c>
      <c r="D21" s="182">
        <f t="shared" si="0"/>
        <v>3.9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183987</v>
      </c>
      <c r="D25" s="182">
        <f t="shared" si="0"/>
        <v>0.8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314034</v>
      </c>
      <c r="D27" s="182">
        <f t="shared" si="0"/>
        <v>1.3</v>
      </c>
    </row>
    <row r="28" spans="1:4" x14ac:dyDescent="0.2">
      <c r="B28" s="187" t="s">
        <v>722</v>
      </c>
      <c r="C28" s="180">
        <f>SUM(C10:C27)</f>
        <v>24212925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24212925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1079674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13265486</v>
      </c>
      <c r="D35" s="182">
        <f t="shared" ref="D35:D40" si="1">ROUND((C35/$C$41)*100,1)</f>
        <v>52.5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364674</v>
      </c>
      <c r="D36" s="182">
        <f t="shared" si="1"/>
        <v>1.4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9249990</v>
      </c>
      <c r="D37" s="182">
        <f t="shared" si="1"/>
        <v>36.6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702722</v>
      </c>
      <c r="D38" s="182">
        <f t="shared" si="1"/>
        <v>2.8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1671184</v>
      </c>
      <c r="D39" s="182">
        <f t="shared" si="1"/>
        <v>6.6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25254056</v>
      </c>
      <c r="D41" s="184">
        <f>SUM(D35:D40)</f>
        <v>99.899999999999991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Winnisquam Regional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2017-09-27T15:40:11Z</cp:lastPrinted>
  <dcterms:created xsi:type="dcterms:W3CDTF">1997-12-04T19:04:30Z</dcterms:created>
  <dcterms:modified xsi:type="dcterms:W3CDTF">2017-11-29T18:09:46Z</dcterms:modified>
</cp:coreProperties>
</file>