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45" yWindow="120" windowWidth="15780" windowHeight="1096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8" i="1" l="1"/>
  <c r="H526" i="1"/>
  <c r="H523" i="1"/>
  <c r="G521" i="1"/>
  <c r="H521" i="1"/>
  <c r="I521" i="1"/>
  <c r="J521" i="1"/>
  <c r="K521" i="1"/>
  <c r="F521" i="1"/>
  <c r="H60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C123" i="2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112" i="1" s="1"/>
  <c r="F94" i="1"/>
  <c r="C58" i="2" s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9" i="10"/>
  <c r="L250" i="1"/>
  <c r="L332" i="1"/>
  <c r="L254" i="1"/>
  <c r="L268" i="1"/>
  <c r="C142" i="2" s="1"/>
  <c r="L269" i="1"/>
  <c r="L349" i="1"/>
  <c r="L350" i="1"/>
  <c r="I665" i="1"/>
  <c r="I670" i="1"/>
  <c r="L229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E58" i="2"/>
  <c r="C59" i="2"/>
  <c r="D59" i="2"/>
  <c r="E59" i="2"/>
  <c r="F59" i="2"/>
  <c r="D60" i="2"/>
  <c r="C61" i="2"/>
  <c r="D61" i="2"/>
  <c r="D62" i="2" s="1"/>
  <c r="D63" i="2" s="1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C122" i="2"/>
  <c r="E122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H476" i="1" s="1"/>
  <c r="H624" i="1" s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I545" i="1" s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H641" i="1"/>
  <c r="G642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G164" i="2"/>
  <c r="C26" i="10"/>
  <c r="L328" i="1"/>
  <c r="L351" i="1"/>
  <c r="A31" i="12"/>
  <c r="C70" i="2"/>
  <c r="D18" i="13"/>
  <c r="C18" i="13" s="1"/>
  <c r="D17" i="13"/>
  <c r="C17" i="13" s="1"/>
  <c r="C91" i="2"/>
  <c r="F78" i="2"/>
  <c r="F81" i="2" s="1"/>
  <c r="D50" i="2"/>
  <c r="G157" i="2"/>
  <c r="F18" i="2"/>
  <c r="G161" i="2"/>
  <c r="G156" i="2"/>
  <c r="E103" i="2"/>
  <c r="D91" i="2"/>
  <c r="E31" i="2"/>
  <c r="D19" i="13"/>
  <c r="C19" i="13" s="1"/>
  <c r="E13" i="13"/>
  <c r="C13" i="13" s="1"/>
  <c r="E78" i="2"/>
  <c r="E81" i="2" s="1"/>
  <c r="L427" i="1"/>
  <c r="J641" i="1"/>
  <c r="J571" i="1"/>
  <c r="K571" i="1"/>
  <c r="L433" i="1"/>
  <c r="L419" i="1"/>
  <c r="I169" i="1"/>
  <c r="J643" i="1"/>
  <c r="F476" i="1"/>
  <c r="H622" i="1" s="1"/>
  <c r="I476" i="1"/>
  <c r="H625" i="1" s="1"/>
  <c r="J625" i="1" s="1"/>
  <c r="J140" i="1"/>
  <c r="F571" i="1"/>
  <c r="I552" i="1"/>
  <c r="K550" i="1"/>
  <c r="G22" i="2"/>
  <c r="K545" i="1"/>
  <c r="C29" i="10"/>
  <c r="H140" i="1"/>
  <c r="F22" i="13"/>
  <c r="L560" i="1"/>
  <c r="J545" i="1"/>
  <c r="H192" i="1"/>
  <c r="C35" i="10"/>
  <c r="L309" i="1"/>
  <c r="E16" i="13"/>
  <c r="J645" i="1"/>
  <c r="L570" i="1"/>
  <c r="I571" i="1"/>
  <c r="J636" i="1"/>
  <c r="G36" i="2"/>
  <c r="G545" i="1"/>
  <c r="C22" i="13"/>
  <c r="C16" i="13"/>
  <c r="L247" i="1" l="1"/>
  <c r="H660" i="1" s="1"/>
  <c r="H664" i="1" s="1"/>
  <c r="H672" i="1" s="1"/>
  <c r="C6" i="10" s="1"/>
  <c r="F552" i="1"/>
  <c r="A13" i="12"/>
  <c r="A40" i="12"/>
  <c r="K549" i="1"/>
  <c r="G552" i="1"/>
  <c r="L544" i="1"/>
  <c r="L534" i="1"/>
  <c r="H552" i="1"/>
  <c r="L529" i="1"/>
  <c r="K551" i="1"/>
  <c r="L524" i="1"/>
  <c r="J651" i="1"/>
  <c r="H257" i="1"/>
  <c r="H271" i="1" s="1"/>
  <c r="K338" i="1"/>
  <c r="K352" i="1" s="1"/>
  <c r="H52" i="1"/>
  <c r="H619" i="1" s="1"/>
  <c r="G624" i="1"/>
  <c r="J624" i="1" s="1"/>
  <c r="J640" i="1"/>
  <c r="J639" i="1"/>
  <c r="C18" i="10"/>
  <c r="H408" i="1"/>
  <c r="H644" i="1" s="1"/>
  <c r="J644" i="1" s="1"/>
  <c r="J634" i="1"/>
  <c r="J622" i="1"/>
  <c r="H25" i="13"/>
  <c r="H33" i="13" s="1"/>
  <c r="C132" i="2"/>
  <c r="C25" i="13"/>
  <c r="C32" i="10"/>
  <c r="C131" i="2"/>
  <c r="K271" i="1"/>
  <c r="D14" i="13"/>
  <c r="C14" i="13" s="1"/>
  <c r="J338" i="1"/>
  <c r="J352" i="1" s="1"/>
  <c r="D6" i="13"/>
  <c r="C6" i="13" s="1"/>
  <c r="C20" i="10"/>
  <c r="C11" i="10"/>
  <c r="E115" i="2"/>
  <c r="C17" i="10"/>
  <c r="G649" i="1"/>
  <c r="J649" i="1" s="1"/>
  <c r="F662" i="1"/>
  <c r="I662" i="1" s="1"/>
  <c r="H647" i="1"/>
  <c r="J647" i="1" s="1"/>
  <c r="C124" i="2"/>
  <c r="D15" i="13"/>
  <c r="C15" i="13" s="1"/>
  <c r="D7" i="13"/>
  <c r="C7" i="13" s="1"/>
  <c r="C16" i="10"/>
  <c r="C118" i="2"/>
  <c r="D12" i="13"/>
  <c r="C12" i="13" s="1"/>
  <c r="E8" i="13"/>
  <c r="C8" i="13" s="1"/>
  <c r="G661" i="1"/>
  <c r="L362" i="1"/>
  <c r="C27" i="10" s="1"/>
  <c r="D29" i="13"/>
  <c r="C29" i="13" s="1"/>
  <c r="F661" i="1"/>
  <c r="D127" i="2"/>
  <c r="D128" i="2" s="1"/>
  <c r="D145" i="2" s="1"/>
  <c r="E128" i="2"/>
  <c r="L290" i="1"/>
  <c r="L338" i="1" s="1"/>
  <c r="L352" i="1" s="1"/>
  <c r="G633" i="1" s="1"/>
  <c r="J633" i="1" s="1"/>
  <c r="L211" i="1"/>
  <c r="C15" i="10"/>
  <c r="D5" i="13"/>
  <c r="C5" i="13" s="1"/>
  <c r="C110" i="2"/>
  <c r="C109" i="2"/>
  <c r="C10" i="10"/>
  <c r="C78" i="2"/>
  <c r="C81" i="2" s="1"/>
  <c r="C57" i="2"/>
  <c r="C62" i="2" s="1"/>
  <c r="C63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L257" i="1" l="1"/>
  <c r="L271" i="1" s="1"/>
  <c r="G632" i="1" s="1"/>
  <c r="J632" i="1" s="1"/>
  <c r="K552" i="1"/>
  <c r="L545" i="1"/>
  <c r="C128" i="2"/>
  <c r="G635" i="1"/>
  <c r="J635" i="1" s="1"/>
  <c r="H648" i="1"/>
  <c r="J648" i="1" s="1"/>
  <c r="G664" i="1"/>
  <c r="G667" i="1" s="1"/>
  <c r="E145" i="2"/>
  <c r="I661" i="1"/>
  <c r="D31" i="13"/>
  <c r="C31" i="13" s="1"/>
  <c r="H667" i="1"/>
  <c r="E33" i="13"/>
  <c r="D35" i="13" s="1"/>
  <c r="F660" i="1"/>
  <c r="F664" i="1" s="1"/>
  <c r="F672" i="1" s="1"/>
  <c r="C4" i="10" s="1"/>
  <c r="C28" i="10"/>
  <c r="D19" i="10" s="1"/>
  <c r="C115" i="2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G672" i="1"/>
  <c r="C5" i="10" s="1"/>
  <c r="D33" i="13"/>
  <c r="D36" i="13" s="1"/>
  <c r="F667" i="1"/>
  <c r="D13" i="10"/>
  <c r="D17" i="10"/>
  <c r="C30" i="10"/>
  <c r="D22" i="10"/>
  <c r="I660" i="1"/>
  <c r="I664" i="1" s="1"/>
  <c r="I672" i="1" s="1"/>
  <c r="C7" i="10" s="1"/>
  <c r="D24" i="10"/>
  <c r="D23" i="10"/>
  <c r="D20" i="10"/>
  <c r="D10" i="10"/>
  <c r="D27" i="10"/>
  <c r="D25" i="10"/>
  <c r="D18" i="10"/>
  <c r="D26" i="10"/>
  <c r="D21" i="10"/>
  <c r="D15" i="10"/>
  <c r="D11" i="10"/>
  <c r="D12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<sst xmlns="http://schemas.openxmlformats.org/spreadsheetml/2006/main" count="3958" uniqueCount="913">
  <si>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</si>
  <si>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</si>
  <si>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</si>
  <si>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</si>
  <si>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</si>
  <si>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</si>
  <si>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</si>
  <si>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</si>
  <si>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</si>
  <si>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</si>
  <si>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</si>
  <si>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</si>
  <si>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</si>
  <si>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</si>
  <si>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</si>
  <si>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</si>
  <si>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</si>
  <si>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</si>
  <si>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</si>
  <si>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</si>
  <si>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</si>
  <si>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</si>
  <si>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</si>
  <si>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</si>
  <si>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</si>
  <si>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</si>
  <si>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</si>
  <si>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</si>
  <si>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</si>
  <si>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</si>
  <si>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</si>
  <si>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</si>
  <si>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</si>
  <si>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</si>
  <si>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</si>
  <si>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</si>
  <si>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</si>
  <si>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</si>
  <si>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</si>
  <si>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</si>
  <si>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</si>
  <si>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</si>
  <si>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</si>
  <si>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</si>
  <si>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</si>
  <si>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</si>
  <si>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</si>
  <si>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</si>
  <si>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</si>
  <si>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</si>
  <si>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</si>
  <si>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</si>
  <si>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</si>
  <si>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</si>
  <si>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</si>
  <si>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</si>
  <si>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</si>
  <si>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</si>
  <si>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</si>
  <si>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</si>
  <si>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</si>
  <si>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</si>
  <si>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</si>
  <si>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</si>
  <si>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</si>
  <si>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</si>
  <si>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</si>
  <si>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</si>
  <si>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</si>
  <si>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</si>
  <si>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</si>
  <si>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</si>
  <si>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</si>
  <si>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</si>
  <si>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</si>
  <si>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</si>
  <si>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</si>
  <si>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</si>
  <si>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</si>
  <si>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</si>
  <si>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</si>
  <si>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</si>
  <si>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</si>
  <si>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</si>
  <si>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</si>
  <si>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</si>
  <si>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</si>
  <si>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</si>
  <si>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</si>
  <si>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</si>
  <si>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</si>
  <si>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</si>
  <si>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</si>
  <si>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</si>
  <si>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</si>
  <si>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</si>
  <si>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</si>
  <si>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</si>
  <si>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</si>
  <si>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</si>
  <si>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</si>
  <si>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</si>
  <si>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</si>
  <si>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</si>
  <si>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</si>
  <si>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</si>
  <si>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</si>
  <si>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</si>
  <si>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</si>
  <si>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</si>
  <si>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</si>
  <si>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</si>
  <si>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</si>
  <si>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</si>
  <si>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</si>
  <si>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</si>
  <si>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</si>
  <si>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</si>
  <si>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</si>
  <si>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</si>
  <si>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</si>
  <si>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</si>
  <si>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</si>
  <si>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</si>
  <si>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</si>
  <si>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</si>
  <si>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</si>
  <si>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</si>
  <si>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</si>
  <si>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</si>
  <si>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</si>
  <si>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</si>
  <si>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</si>
  <si>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</si>
  <si>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</si>
  <si>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</si>
  <si>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</si>
  <si>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</si>
  <si>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</si>
  <si>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</si>
  <si>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</si>
  <si>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</si>
  <si>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</si>
  <si>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</si>
  <si>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</si>
  <si>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</si>
  <si>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</si>
  <si>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</si>
  <si>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</si>
  <si>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</si>
  <si>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</si>
  <si>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</si>
  <si>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</si>
  <si>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</si>
  <si>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</si>
  <si>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</si>
  <si>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</si>
  <si>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</si>
  <si>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</si>
  <si>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</si>
  <si>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</si>
  <si>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</si>
  <si>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</si>
  <si>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</si>
  <si>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</si>
  <si>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</si>
  <si>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</si>
  <si>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</si>
  <si>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</si>
  <si>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</si>
  <si>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</si>
  <si>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</si>
  <si>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</si>
  <si>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</si>
  <si>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</si>
  <si>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</si>
  <si>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</si>
  <si>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</si>
  <si>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</si>
  <si>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</si>
  <si>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</si>
  <si>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</si>
  <si>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</si>
  <si>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</si>
  <si>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</si>
  <si>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</si>
  <si>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</si>
  <si>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</si>
  <si>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</si>
  <si>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</si>
  <si>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</si>
  <si>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</si>
  <si>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</si>
  <si>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</si>
  <si>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</si>
  <si>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</si>
  <si>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</si>
  <si>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</si>
  <si>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</si>
  <si>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</si>
  <si>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</si>
  <si>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</si>
  <si>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</si>
  <si>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</si>
  <si>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</si>
  <si>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</si>
  <si>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</si>
  <si>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</si>
  <si>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</si>
  <si>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</si>
  <si>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</si>
  <si>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</si>
  <si>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</si>
  <si>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</si>
  <si>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</si>
  <si>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</si>
  <si>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</si>
  <si>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</si>
  <si>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</si>
  <si>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</si>
  <si>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</si>
  <si>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</si>
  <si>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</si>
  <si>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</si>
  <si>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</si>
  <si>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</si>
  <si>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</si>
  <si>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</si>
  <si>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</si>
  <si>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</si>
  <si>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</si>
  <si>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</si>
  <si>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</si>
  <si>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</si>
  <si>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</si>
  <si>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</si>
  <si>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</si>
  <si>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</si>
  <si>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</si>
  <si>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</si>
  <si>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</si>
  <si>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</si>
  <si>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</si>
  <si>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</si>
  <si>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</si>
  <si>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</si>
  <si>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</si>
  <si>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</si>
  <si>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</si>
  <si>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</si>
  <si>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</si>
  <si>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</si>
  <si>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</si>
  <si>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</si>
  <si>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</si>
  <si>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</si>
  <si>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</si>
  <si>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</si>
  <si>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</si>
  <si>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</si>
  <si>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</si>
  <si>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</si>
  <si>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</si>
  <si>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</si>
  <si>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</si>
  <si>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</si>
  <si>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</si>
  <si>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</si>
  <si>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</si>
  <si>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</si>
  <si>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</si>
  <si>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</si>
  <si>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</si>
  <si>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</si>
  <si>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</si>
  <si>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</si>
  <si>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</si>
  <si>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</si>
  <si>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</si>
  <si>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</si>
  <si>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</si>
  <si>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</si>
  <si>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</si>
  <si>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</si>
  <si>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</si>
  <si>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</si>
  <si>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</si>
  <si>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</si>
  <si>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</si>
  <si>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</si>
  <si>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</si>
  <si>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</si>
  <si>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</si>
  <si>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</si>
  <si>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</si>
  <si>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</si>
  <si>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</si>
  <si>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</si>
  <si>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</si>
  <si>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</si>
  <si>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</si>
  <si>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</si>
  <si>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</si>
  <si>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</si>
  <si>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</si>
  <si>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</si>
  <si>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</si>
  <si>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</si>
  <si>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</si>
  <si>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</si>
  <si>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</si>
  <si>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</si>
  <si>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</si>
  <si>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</si>
  <si>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</si>
  <si>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</si>
  <si>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</si>
  <si>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</si>
  <si>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</si>
  <si>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</si>
  <si>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</si>
  <si>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</si>
  <si>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</si>
  <si>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</si>
  <si>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</si>
  <si>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</si>
  <si>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</si>
  <si>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</si>
  <si>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</si>
  <si>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</si>
  <si>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</si>
  <si>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</si>
  <si>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</si>
  <si>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</si>
  <si>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</si>
  <si>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</si>
  <si>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</si>
  <si>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</si>
  <si>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</si>
  <si>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</si>
  <si>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</si>
  <si>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</si>
  <si>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</si>
  <si>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</si>
  <si>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</si>
  <si>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</si>
  <si>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</si>
  <si>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</si>
  <si>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</si>
  <si>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</si>
  <si>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</si>
  <si>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</si>
  <si>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</si>
  <si>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</si>
  <si>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</si>
  <si>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</si>
  <si>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</si>
  <si>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</si>
  <si>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</si>
  <si>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</si>
  <si>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</si>
  <si>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</si>
  <si>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</si>
  <si>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</si>
  <si>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</si>
  <si>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</si>
  <si>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</si>
  <si>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</si>
  <si>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</si>
  <si>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</si>
  <si>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</si>
  <si>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</si>
  <si>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</si>
  <si>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</si>
  <si>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</si>
  <si>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</si>
  <si>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</si>
  <si>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</si>
  <si>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</si>
  <si>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</si>
  <si>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</si>
  <si>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</si>
  <si>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</si>
  <si>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</si>
  <si>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</si>
  <si>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</si>
  <si>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</si>
  <si>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</si>
  <si>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</si>
  <si>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</si>
  <si>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</si>
  <si>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</si>
  <si>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</si>
  <si>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</si>
  <si>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</si>
  <si>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</si>
  <si>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</si>
  <si>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</si>
  <si>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</si>
  <si>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</si>
  <si>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</si>
  <si>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</si>
  <si>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</si>
  <si>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</si>
  <si>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</si>
  <si>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</si>
  <si>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</si>
  <si>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</si>
  <si>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</si>
  <si>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</si>
  <si>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</si>
  <si>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</si>
  <si>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</si>
  <si>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</si>
  <si>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</si>
  <si>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</si>
  <si>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</si>
  <si>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</si>
  <si>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</si>
  <si>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</si>
  <si>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</si>
  <si>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</si>
  <si>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</si>
  <si>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</si>
  <si>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</si>
  <si>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</si>
  <si>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</si>
  <si>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</si>
  <si>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</si>
  <si>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</si>
  <si>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</si>
  <si>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</si>
  <si>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</si>
  <si>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</si>
  <si>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</si>
  <si>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</si>
  <si>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</si>
  <si>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</si>
  <si>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</si>
  <si>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</si>
  <si>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</si>
  <si>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</si>
  <si>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</si>
  <si>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</si>
  <si>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</si>
  <si>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</si>
  <si>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</si>
  <si>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</si>
  <si>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</si>
  <si>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</si>
  <si>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</si>
  <si>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</si>
  <si>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</si>
  <si>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</si>
  <si>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</si>
  <si>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</si>
  <si>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</si>
  <si>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</si>
  <si>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</si>
  <si>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</si>
  <si>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</si>
  <si>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</si>
  <si>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</si>
  <si>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</si>
  <si>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</si>
  <si>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</si>
  <si>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</si>
  <si>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</si>
  <si>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</si>
  <si>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</si>
  <si>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</si>
  <si>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</si>
  <si>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</si>
  <si>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</si>
  <si>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</si>
  <si>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</si>
  <si>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</si>
  <si>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</si>
  <si>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</si>
  <si>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</si>
  <si>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</si>
  <si>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</si>
  <si>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</si>
  <si>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</si>
  <si>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</si>
  <si>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</si>
  <si>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</si>
  <si>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</si>
  <si>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</si>
  <si>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</si>
  <si>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</si>
  <si>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</si>
  <si>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</si>
  <si>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</si>
  <si>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</si>
  <si>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</si>
  <si>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</si>
  <si>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</si>
  <si>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</si>
  <si>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</si>
  <si>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</si>
  <si>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</si>
  <si>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</si>
  <si>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</si>
  <si>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</si>
  <si>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</si>
  <si>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</si>
  <si>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</si>
  <si>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</si>
  <si>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</si>
  <si>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</si>
  <si>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</si>
  <si>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</si>
  <si>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</si>
  <si>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</si>
  <si>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</si>
  <si>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</si>
  <si>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</si>
  <si>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</si>
  <si>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</si>
  <si>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</si>
  <si>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</si>
  <si>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</si>
  <si>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</si>
  <si>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</si>
  <si>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</si>
  <si>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</si>
  <si>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</si>
  <si>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</si>
  <si>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</si>
  <si>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</si>
  <si>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</si>
  <si>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</si>
  <si>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</si>
  <si>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</si>
  <si>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</si>
  <si>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</si>
  <si>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</si>
  <si>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</si>
  <si>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</si>
  <si>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</si>
  <si>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</si>
  <si>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</si>
  <si>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</si>
  <si>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</si>
  <si>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</si>
  <si>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</si>
  <si>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</si>
  <si>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</si>
  <si>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</si>
  <si>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</si>
  <si>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</si>
  <si>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</si>
  <si>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</si>
  <si>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</si>
  <si>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</si>
  <si>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</si>
  <si>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</si>
  <si>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</si>
  <si>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</si>
  <si>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</si>
  <si>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</si>
  <si>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</si>
  <si>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</si>
  <si>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</si>
  <si>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</si>
  <si>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</si>
  <si>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</si>
  <si>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</si>
  <si>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</si>
  <si>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</si>
  <si>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</si>
  <si>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</si>
  <si>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</si>
  <si>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</si>
  <si>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</si>
  <si>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</si>
  <si>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</si>
  <si>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</si>
  <si>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</si>
  <si>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</si>
  <si>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</si>
  <si>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</si>
  <si>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</si>
  <si>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</si>
  <si>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</si>
  <si>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</si>
  <si>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</si>
  <si>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</si>
  <si>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</si>
  <si>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</si>
  <si>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</si>
  <si>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</si>
  <si>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</si>
  <si>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</si>
  <si>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</si>
  <si>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</si>
  <si>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</si>
  <si>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</si>
  <si>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</si>
  <si>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</si>
  <si>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</si>
  <si>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</si>
  <si>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</si>
  <si>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</si>
  <si>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</si>
  <si>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</si>
  <si>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</si>
  <si>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</si>
  <si>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</si>
  <si>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</si>
  <si>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</si>
  <si>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</si>
  <si>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</si>
  <si>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</si>
  <si>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</si>
  <si>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</si>
  <si>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</si>
  <si>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</si>
  <si>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</si>
  <si>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</si>
  <si>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</si>
  <si>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</si>
  <si>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</si>
  <si>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</si>
  <si>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</si>
  <si>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</si>
  <si>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</si>
  <si>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</si>
  <si>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</si>
  <si>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</si>
  <si>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</si>
  <si>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</si>
  <si>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</si>
  <si>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</si>
  <si>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</si>
  <si>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</si>
  <si>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</si>
  <si>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</si>
  <si>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</si>
  <si>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</si>
  <si>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</si>
  <si>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</si>
  <si>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</si>
  <si>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</si>
  <si>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</si>
  <si>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</si>
  <si>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</si>
  <si>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</si>
  <si>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</si>
  <si>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</si>
  <si>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</si>
  <si>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</si>
  <si>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</si>
  <si>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</si>
  <si>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</si>
  <si>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</si>
  <si>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</si>
  <si>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</si>
  <si>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</si>
  <si>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</si>
  <si>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</si>
  <si>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</si>
  <si>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</si>
  <si>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</si>
  <si>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</si>
  <si>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</si>
  <si>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</si>
  <si>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</si>
  <si>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</si>
  <si>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</si>
  <si>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</si>
  <si>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</si>
  <si>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</si>
  <si>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</si>
  <si>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</si>
  <si>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</si>
  <si>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</si>
  <si>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</si>
  <si>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</si>
  <si>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</si>
  <si>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</si>
  <si>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</si>
  <si>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</si>
  <si>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</si>
  <si>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</si>
  <si>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</si>
  <si>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</si>
  <si>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</si>
  <si>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</si>
  <si>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</si>
  <si>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</si>
  <si>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</si>
  <si>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</si>
  <si>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</si>
  <si>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</si>
  <si>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</si>
  <si>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</si>
  <si>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</si>
  <si>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</si>
  <si>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</si>
  <si>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</si>
  <si>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</si>
  <si>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</si>
  <si>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</si>
  <si>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</si>
  <si>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</si>
  <si>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</si>
  <si>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</si>
  <si>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</si>
  <si>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</si>
  <si>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</si>
  <si>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</si>
  <si>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</si>
  <si>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</si>
  <si>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</si>
  <si>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</si>
  <si>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</si>
  <si>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</si>
  <si>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</si>
  <si>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</si>
  <si>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</si>
  <si>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</si>
  <si>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</si>
  <si>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</si>
  <si>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</si>
  <si>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</si>
  <si>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</si>
  <si>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</si>
  <si>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</si>
  <si>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</si>
  <si>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</si>
  <si>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</si>
  <si>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</si>
  <si>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</si>
  <si>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</si>
  <si>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</si>
  <si>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</si>
  <si>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</si>
  <si>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</si>
  <si>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</si>
  <si>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</si>
  <si>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</si>
  <si>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</si>
  <si>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</si>
  <si>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</si>
  <si>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</si>
  <si>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</si>
  <si>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</si>
  <si>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</si>
  <si>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</si>
  <si>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</si>
  <si>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</si>
  <si>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</si>
  <si>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</si>
  <si>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</si>
  <si>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</si>
  <si>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</si>
  <si>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</si>
  <si>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</si>
  <si>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</si>
  <si>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</si>
  <si>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</si>
  <si>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</si>
  <si>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</si>
  <si>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</si>
  <si>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</si>
  <si>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</si>
  <si>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</si>
  <si>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</si>
  <si>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</si>
  <si>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</si>
  <si>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</si>
  <si>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</si>
  <si>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</si>
  <si>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</si>
  <si>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</si>
  <si>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</si>
  <si>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</si>
  <si>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</si>
  <si>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</si>
  <si>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</si>
  <si>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</si>
  <si>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</si>
  <si>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</si>
  <si>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</si>
  <si>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</si>
  <si>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</si>
  <si>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</si>
  <si>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</si>
  <si>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</si>
  <si>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</si>
  <si>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</si>
  <si>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</si>
  <si>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</si>
  <si>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</si>
  <si>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</si>
  <si>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</si>
  <si>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</si>
  <si>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</si>
  <si>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</si>
  <si>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</si>
  <si>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</si>
  <si>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</si>
  <si>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</si>
  <si>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</si>
  <si>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</si>
  <si>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</si>
  <si>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</si>
  <si>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</si>
  <si>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</si>
  <si>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</si>
  <si>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</si>
  <si>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</si>
  <si>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</si>
  <si>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</si>
  <si>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</si>
  <si>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</si>
  <si>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</si>
  <si>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</si>
  <si>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</si>
  <si>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</si>
  <si>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</si>
  <si>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</si>
  <si>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</si>
  <si>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</si>
  <si>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</si>
  <si>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</si>
  <si>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</si>
  <si>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</si>
  <si>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</si>
  <si>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</si>
  <si>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</si>
  <si>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</si>
  <si>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</si>
  <si>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</si>
  <si>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</si>
  <si>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</si>
  <si>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</si>
  <si>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</si>
  <si>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</si>
  <si>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</si>
  <si>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</si>
  <si>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</si>
  <si>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</si>
  <si>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</si>
  <si>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</si>
  <si>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</si>
  <si>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</si>
  <si>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</si>
  <si>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</si>
  <si>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</si>
  <si>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</si>
  <si>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</si>
  <si>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</si>
  <si>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</si>
  <si>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</si>
  <si>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</si>
  <si>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</si>
  <si>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</si>
  <si>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</si>
  <si>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</si>
  <si>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</si>
  <si>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</si>
  <si>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</si>
  <si>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</si>
  <si>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</si>
  <si>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</si>
  <si>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</si>
  <si>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</si>
  <si>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</si>
  <si>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</si>
  <si>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</si>
  <si>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</si>
  <si>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</si>
  <si>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</si>
  <si>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</si>
  <si>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</si>
  <si>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</si>
  <si>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</si>
  <si>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</si>
  <si>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</si>
  <si>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</si>
  <si>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</si>
  <si>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</si>
  <si>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</si>
  <si>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</si>
  <si>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</si>
  <si>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</si>
  <si>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</si>
  <si>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</si>
  <si>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</si>
  <si>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</si>
  <si>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</si>
  <si>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</si>
  <si>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</si>
  <si>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</si>
  <si>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</si>
  <si>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</si>
  <si>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</si>
  <si>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</si>
  <si>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</si>
  <si>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</si>
  <si>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</si>
  <si>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</si>
  <si>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</si>
  <si>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</si>
  <si>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</si>
  <si>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</si>
  <si>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</si>
  <si>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</si>
  <si>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</si>
  <si>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ALLENSTOWN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</si>
</sst>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9</v>
      </c>
      <c r="C2" s="21">
        <v>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859715.37</v>
      </c>
      <c r="G9" s="18"/>
      <c r="H9" s="18"/>
      <c r="I9" s="18"/>
      <c r="J9" s="67">
        <f>SUM(I439)</f>
        <v>87176.150000000009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37069.449999999997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73124.05</v>
      </c>
      <c r="G13" s="18">
        <v>9626.42</v>
      </c>
      <c r="H13" s="18">
        <v>48086.36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8107.72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>
        <v>5030.3599999999997</v>
      </c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969908.87</v>
      </c>
      <c r="G19" s="41">
        <f>SUM(G9:G18)</f>
        <v>17734.14</v>
      </c>
      <c r="H19" s="41">
        <f>SUM(H9:H18)</f>
        <v>53116.72</v>
      </c>
      <c r="I19" s="41">
        <f>SUM(I9:I18)</f>
        <v>0</v>
      </c>
      <c r="J19" s="41">
        <f>SUM(J9:J18)</f>
        <v>87176.150000000009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8189.69</v>
      </c>
      <c r="H22" s="18">
        <v>33486.58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450436.36</v>
      </c>
      <c r="G23" s="18">
        <v>9544.4500000000007</v>
      </c>
      <c r="H23" s="18">
        <v>14599.78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5274.68</v>
      </c>
      <c r="G24" s="18">
        <v>0</v>
      </c>
      <c r="H24" s="18">
        <v>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1838.93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/>
      <c r="H30" s="18">
        <v>0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457549.97</v>
      </c>
      <c r="G32" s="41">
        <f>SUM(G22:G31)</f>
        <v>17734.14</v>
      </c>
      <c r="H32" s="41">
        <f>SUM(H22:H31)</f>
        <v>48086.36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40000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50000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5030.3599999999997</v>
      </c>
      <c r="I48" s="18"/>
      <c r="J48" s="13">
        <f>SUM(I459)</f>
        <v>87176.150000000009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 t="s">
        <v>284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422358.9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512358.9</v>
      </c>
      <c r="G51" s="41">
        <f>SUM(G35:G50)</f>
        <v>0</v>
      </c>
      <c r="H51" s="41">
        <f>SUM(H35:H50)</f>
        <v>5030.3599999999997</v>
      </c>
      <c r="I51" s="41">
        <f>SUM(I35:I50)</f>
        <v>0</v>
      </c>
      <c r="J51" s="41">
        <f>SUM(J35:J50)</f>
        <v>87176.150000000009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969908.87</v>
      </c>
      <c r="G52" s="41">
        <f>G51+G32</f>
        <v>17734.14</v>
      </c>
      <c r="H52" s="41">
        <f>H51+H32</f>
        <v>53116.72</v>
      </c>
      <c r="I52" s="41">
        <f>I51+I32</f>
        <v>0</v>
      </c>
      <c r="J52" s="41">
        <f>J51+J32</f>
        <v>87176.150000000009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4981077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4981077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10388.24</v>
      </c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10388.24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5568.35</v>
      </c>
      <c r="G96" s="18"/>
      <c r="H96" s="18"/>
      <c r="I96" s="18"/>
      <c r="J96" s="18">
        <v>2037.5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46677.64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2400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454.07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>
        <v>0</v>
      </c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110507.43</v>
      </c>
      <c r="G110" s="18">
        <v>980.05</v>
      </c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118475.78</v>
      </c>
      <c r="G111" s="41">
        <f>SUM(G96:G110)</f>
        <v>47657.69</v>
      </c>
      <c r="H111" s="41">
        <f>SUM(H96:H110)</f>
        <v>454.07</v>
      </c>
      <c r="I111" s="41">
        <f>SUM(I96:I110)</f>
        <v>0</v>
      </c>
      <c r="J111" s="41">
        <f>SUM(J96:J110)</f>
        <v>2037.5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5109941.0200000005</v>
      </c>
      <c r="G112" s="41">
        <f>G60+G111</f>
        <v>47657.69</v>
      </c>
      <c r="H112" s="41">
        <f>H60+H79+H94+H111</f>
        <v>454.07</v>
      </c>
      <c r="I112" s="41">
        <f>I60+I111</f>
        <v>0</v>
      </c>
      <c r="J112" s="41">
        <f>J60+J111</f>
        <v>2037.5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3798594.01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584288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13824.46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4396706.47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105515.55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2253.58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105515.55</v>
      </c>
      <c r="G136" s="41">
        <f>SUM(G123:G135)</f>
        <v>2253.58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4502222.0199999996</v>
      </c>
      <c r="G140" s="41">
        <f>G121+SUM(G136:G137)</f>
        <v>2253.58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163007.43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13854.33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107378.11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126636.92</v>
      </c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93628.99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0</v>
      </c>
      <c r="H161" s="18">
        <v>0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220265.91</v>
      </c>
      <c r="G162" s="41">
        <f>SUM(G150:G161)</f>
        <v>107378.11</v>
      </c>
      <c r="H162" s="41">
        <f>SUM(H150:H161)</f>
        <v>176861.75999999998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220265.91</v>
      </c>
      <c r="G169" s="41">
        <f>G147+G162+SUM(G163:G168)</f>
        <v>107378.11</v>
      </c>
      <c r="H169" s="41">
        <f>H147+H162+SUM(H163:H168)</f>
        <v>176861.75999999998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5748.23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5748.23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5748.23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9832428.9499999993</v>
      </c>
      <c r="G193" s="47">
        <f>G112+G140+G169+G192</f>
        <v>163037.61000000002</v>
      </c>
      <c r="H193" s="47">
        <f>H112+H140+H169+H192</f>
        <v>177315.83</v>
      </c>
      <c r="I193" s="47">
        <f>I112+I140+I169+I192</f>
        <v>0</v>
      </c>
      <c r="J193" s="47">
        <f>J112+J140+J192</f>
        <v>2037.5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1420296.11</v>
      </c>
      <c r="G197" s="18">
        <v>717198.94496940495</v>
      </c>
      <c r="H197" s="18">
        <v>41819.629999999997</v>
      </c>
      <c r="I197" s="18">
        <v>47219.23</v>
      </c>
      <c r="J197" s="18">
        <v>41233.94</v>
      </c>
      <c r="K197" s="18">
        <v>0</v>
      </c>
      <c r="L197" s="19">
        <f>SUM(F197:K197)</f>
        <v>2267767.8549694046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984110.12</v>
      </c>
      <c r="G198" s="18">
        <v>496940.55</v>
      </c>
      <c r="H198" s="18">
        <v>629431.85</v>
      </c>
      <c r="I198" s="18">
        <v>9198.7800000000007</v>
      </c>
      <c r="J198" s="18">
        <v>4454.29</v>
      </c>
      <c r="K198" s="18">
        <v>985</v>
      </c>
      <c r="L198" s="19">
        <f>SUM(F198:K198)</f>
        <v>2125120.59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14850</v>
      </c>
      <c r="G200" s="18">
        <v>7498.72</v>
      </c>
      <c r="H200" s="18">
        <v>2675</v>
      </c>
      <c r="I200" s="18">
        <v>1158.73</v>
      </c>
      <c r="J200" s="18">
        <v>0</v>
      </c>
      <c r="K200" s="18">
        <v>0</v>
      </c>
      <c r="L200" s="19">
        <f>SUM(F200:K200)</f>
        <v>26182.45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241629</v>
      </c>
      <c r="G202" s="18">
        <v>122014.04</v>
      </c>
      <c r="H202" s="18">
        <v>399023.57</v>
      </c>
      <c r="I202" s="18">
        <v>6781.39</v>
      </c>
      <c r="J202" s="18">
        <v>1965.96</v>
      </c>
      <c r="K202" s="18">
        <v>1199</v>
      </c>
      <c r="L202" s="19">
        <f t="shared" ref="L202:L208" si="0">SUM(F202:K202)</f>
        <v>772612.96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44383.06</v>
      </c>
      <c r="G203" s="18">
        <v>22411.86</v>
      </c>
      <c r="H203" s="18">
        <v>18590.57</v>
      </c>
      <c r="I203" s="18">
        <v>7791.46</v>
      </c>
      <c r="J203" s="18">
        <v>0</v>
      </c>
      <c r="K203" s="18">
        <v>0</v>
      </c>
      <c r="L203" s="19">
        <f t="shared" si="0"/>
        <v>93176.95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9440</v>
      </c>
      <c r="G204" s="18">
        <v>4766.8599999999997</v>
      </c>
      <c r="H204" s="18">
        <v>219893.64</v>
      </c>
      <c r="I204" s="18">
        <v>2016.47</v>
      </c>
      <c r="J204" s="18">
        <v>760.19</v>
      </c>
      <c r="K204" s="18">
        <v>4855.38</v>
      </c>
      <c r="L204" s="19">
        <f t="shared" si="0"/>
        <v>241732.54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332746.92</v>
      </c>
      <c r="G205" s="18">
        <v>168025.34</v>
      </c>
      <c r="H205" s="18">
        <v>31905.64</v>
      </c>
      <c r="I205" s="18">
        <v>3775.38</v>
      </c>
      <c r="J205" s="18">
        <v>0</v>
      </c>
      <c r="K205" s="18">
        <v>2510.25</v>
      </c>
      <c r="L205" s="19">
        <f t="shared" si="0"/>
        <v>538963.53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175489.78</v>
      </c>
      <c r="G207" s="18">
        <v>88616.09</v>
      </c>
      <c r="H207" s="18">
        <v>152410.23000000001</v>
      </c>
      <c r="I207" s="18">
        <v>94929.67</v>
      </c>
      <c r="J207" s="18">
        <v>24971.23</v>
      </c>
      <c r="K207" s="18">
        <v>123.92</v>
      </c>
      <c r="L207" s="19">
        <f t="shared" si="0"/>
        <v>536540.92000000004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373383.34</v>
      </c>
      <c r="I208" s="18">
        <v>0</v>
      </c>
      <c r="J208" s="18"/>
      <c r="K208" s="18"/>
      <c r="L208" s="19">
        <f t="shared" si="0"/>
        <v>373383.34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3222944.9899999998</v>
      </c>
      <c r="G211" s="41">
        <f t="shared" si="1"/>
        <v>1627472.4049694054</v>
      </c>
      <c r="H211" s="41">
        <f t="shared" si="1"/>
        <v>1869133.4700000002</v>
      </c>
      <c r="I211" s="41">
        <f t="shared" si="1"/>
        <v>172871.11000000002</v>
      </c>
      <c r="J211" s="41">
        <f t="shared" si="1"/>
        <v>73385.61</v>
      </c>
      <c r="K211" s="41">
        <f t="shared" si="1"/>
        <v>9673.5500000000011</v>
      </c>
      <c r="L211" s="41">
        <f t="shared" si="1"/>
        <v>6975481.1349694049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1841627.98</v>
      </c>
      <c r="I233" s="18"/>
      <c r="J233" s="18"/>
      <c r="K233" s="18"/>
      <c r="L233" s="19">
        <f>SUM(F233:K233)</f>
        <v>1841627.98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421585.08</v>
      </c>
      <c r="I234" s="18"/>
      <c r="J234" s="18"/>
      <c r="K234" s="18"/>
      <c r="L234" s="19">
        <f>SUM(F234:K234)</f>
        <v>421585.08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148853.32999999999</v>
      </c>
      <c r="I238" s="18"/>
      <c r="J238" s="18"/>
      <c r="K238" s="18"/>
      <c r="L238" s="19">
        <f t="shared" ref="L238:L244" si="4">SUM(F238:K238)</f>
        <v>148853.32999999999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103187.86</v>
      </c>
      <c r="I244" s="18"/>
      <c r="J244" s="18"/>
      <c r="K244" s="18"/>
      <c r="L244" s="19">
        <f t="shared" si="4"/>
        <v>103187.86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2515254.25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2515254.25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3222944.9899999998</v>
      </c>
      <c r="G257" s="41">
        <f t="shared" si="8"/>
        <v>1627472.4049694054</v>
      </c>
      <c r="H257" s="41">
        <f t="shared" si="8"/>
        <v>4384387.7200000007</v>
      </c>
      <c r="I257" s="41">
        <f t="shared" si="8"/>
        <v>172871.11000000002</v>
      </c>
      <c r="J257" s="41">
        <f t="shared" si="8"/>
        <v>73385.61</v>
      </c>
      <c r="K257" s="41">
        <f t="shared" si="8"/>
        <v>9673.5500000000011</v>
      </c>
      <c r="L257" s="41">
        <f t="shared" si="8"/>
        <v>9490735.3849694058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5748.23</v>
      </c>
      <c r="L263" s="19">
        <f>SUM(F263:K263)</f>
        <v>5748.23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0</v>
      </c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52119.44</v>
      </c>
      <c r="L268" s="19">
        <f t="shared" si="9"/>
        <v>52119.44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57867.67</v>
      </c>
      <c r="L270" s="41">
        <f t="shared" si="9"/>
        <v>57867.67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3222944.9899999998</v>
      </c>
      <c r="G271" s="42">
        <f t="shared" si="11"/>
        <v>1627472.4049694054</v>
      </c>
      <c r="H271" s="42">
        <f t="shared" si="11"/>
        <v>4384387.7200000007</v>
      </c>
      <c r="I271" s="42">
        <f t="shared" si="11"/>
        <v>172871.11000000002</v>
      </c>
      <c r="J271" s="42">
        <f t="shared" si="11"/>
        <v>73385.61</v>
      </c>
      <c r="K271" s="42">
        <f t="shared" si="11"/>
        <v>67541.22</v>
      </c>
      <c r="L271" s="42">
        <f t="shared" si="11"/>
        <v>9548603.0549694058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80450.2</v>
      </c>
      <c r="G276" s="18">
        <v>6370.99</v>
      </c>
      <c r="H276" s="18">
        <v>648</v>
      </c>
      <c r="I276" s="18">
        <v>26323.37</v>
      </c>
      <c r="J276" s="18">
        <v>15940.04</v>
      </c>
      <c r="K276" s="18"/>
      <c r="L276" s="19">
        <f>SUM(F276:K276)</f>
        <v>129732.6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>
        <v>1056.2</v>
      </c>
      <c r="K279" s="18"/>
      <c r="L279" s="19">
        <f>SUM(F279:K279)</f>
        <v>1056.2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0</v>
      </c>
      <c r="I281" s="18">
        <v>0</v>
      </c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5000</v>
      </c>
      <c r="G282" s="18">
        <v>387.32</v>
      </c>
      <c r="H282" s="18">
        <v>34076.99</v>
      </c>
      <c r="I282" s="18">
        <v>1119.1400000000001</v>
      </c>
      <c r="J282" s="18">
        <v>0</v>
      </c>
      <c r="K282" s="18"/>
      <c r="L282" s="19">
        <f t="shared" si="12"/>
        <v>40583.449999999997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/>
      <c r="J283" s="18"/>
      <c r="K283" s="18">
        <v>3166.9</v>
      </c>
      <c r="L283" s="19">
        <f t="shared" si="12"/>
        <v>3166.9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2000</v>
      </c>
      <c r="G284" s="18">
        <v>0</v>
      </c>
      <c r="H284" s="18">
        <v>1500</v>
      </c>
      <c r="I284" s="18">
        <v>0</v>
      </c>
      <c r="J284" s="18"/>
      <c r="K284" s="18">
        <v>-370.47</v>
      </c>
      <c r="L284" s="19">
        <f t="shared" si="12"/>
        <v>3129.5299999999997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/>
      <c r="I286" s="18">
        <v>0</v>
      </c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87450.2</v>
      </c>
      <c r="G290" s="42">
        <f t="shared" si="13"/>
        <v>6758.3099999999995</v>
      </c>
      <c r="H290" s="42">
        <f t="shared" si="13"/>
        <v>36224.99</v>
      </c>
      <c r="I290" s="42">
        <f t="shared" si="13"/>
        <v>27442.51</v>
      </c>
      <c r="J290" s="42">
        <f t="shared" si="13"/>
        <v>16996.240000000002</v>
      </c>
      <c r="K290" s="42">
        <f t="shared" si="13"/>
        <v>2796.4300000000003</v>
      </c>
      <c r="L290" s="41">
        <f t="shared" si="13"/>
        <v>177668.68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87450.2</v>
      </c>
      <c r="G338" s="41">
        <f t="shared" si="20"/>
        <v>6758.3099999999995</v>
      </c>
      <c r="H338" s="41">
        <f t="shared" si="20"/>
        <v>36224.99</v>
      </c>
      <c r="I338" s="41">
        <f t="shared" si="20"/>
        <v>27442.51</v>
      </c>
      <c r="J338" s="41">
        <f t="shared" si="20"/>
        <v>16996.240000000002</v>
      </c>
      <c r="K338" s="41">
        <f t="shared" si="20"/>
        <v>2796.4300000000003</v>
      </c>
      <c r="L338" s="41">
        <f t="shared" si="20"/>
        <v>177668.68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87450.2</v>
      </c>
      <c r="G352" s="41">
        <f>G338</f>
        <v>6758.3099999999995</v>
      </c>
      <c r="H352" s="41">
        <f>H338</f>
        <v>36224.99</v>
      </c>
      <c r="I352" s="41">
        <f>I338</f>
        <v>27442.51</v>
      </c>
      <c r="J352" s="41">
        <f>J338</f>
        <v>16996.240000000002</v>
      </c>
      <c r="K352" s="47">
        <f>K338+K351</f>
        <v>2796.4300000000003</v>
      </c>
      <c r="L352" s="41">
        <f>L338+L351</f>
        <v>177668.68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73930.13</v>
      </c>
      <c r="G358" s="18">
        <v>6123.64</v>
      </c>
      <c r="H358" s="18">
        <v>3684.5</v>
      </c>
      <c r="I358" s="18">
        <v>87662.24</v>
      </c>
      <c r="J358" s="18">
        <v>0</v>
      </c>
      <c r="K358" s="18">
        <v>851</v>
      </c>
      <c r="L358" s="13">
        <f>SUM(F358:K358)</f>
        <v>172251.51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73930.13</v>
      </c>
      <c r="G362" s="47">
        <f t="shared" si="22"/>
        <v>6123.64</v>
      </c>
      <c r="H362" s="47">
        <f t="shared" si="22"/>
        <v>3684.5</v>
      </c>
      <c r="I362" s="47">
        <f t="shared" si="22"/>
        <v>87662.24</v>
      </c>
      <c r="J362" s="47">
        <f t="shared" si="22"/>
        <v>0</v>
      </c>
      <c r="K362" s="47">
        <f t="shared" si="22"/>
        <v>851</v>
      </c>
      <c r="L362" s="47">
        <f t="shared" si="22"/>
        <v>172251.51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78685.48</v>
      </c>
      <c r="G367" s="18"/>
      <c r="H367" s="18"/>
      <c r="I367" s="56">
        <f>SUM(F367:H367)</f>
        <v>78685.48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8976.76</v>
      </c>
      <c r="G368" s="63"/>
      <c r="H368" s="63"/>
      <c r="I368" s="56">
        <f>SUM(F368:H368)</f>
        <v>8976.76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87662.239999999991</v>
      </c>
      <c r="G369" s="47">
        <f>SUM(G367:G368)</f>
        <v>0</v>
      </c>
      <c r="H369" s="47">
        <f>SUM(H367:H368)</f>
        <v>0</v>
      </c>
      <c r="I369" s="47">
        <f>SUM(I367:I368)</f>
        <v>87662.239999999991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269.52</v>
      </c>
      <c r="I389" s="18"/>
      <c r="J389" s="24" t="s">
        <v>286</v>
      </c>
      <c r="K389" s="24" t="s">
        <v>286</v>
      </c>
      <c r="L389" s="56">
        <f t="shared" si="25"/>
        <v>269.52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-138.02000000000001</v>
      </c>
      <c r="I392" s="18"/>
      <c r="J392" s="24" t="s">
        <v>286</v>
      </c>
      <c r="K392" s="24" t="s">
        <v>286</v>
      </c>
      <c r="L392" s="56">
        <f t="shared" si="25"/>
        <v>-138.02000000000001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131.49999999999997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131.49999999999997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-10428.280000000001</v>
      </c>
      <c r="I396" s="18"/>
      <c r="J396" s="24" t="s">
        <v>286</v>
      </c>
      <c r="K396" s="24" t="s">
        <v>286</v>
      </c>
      <c r="L396" s="56">
        <f t="shared" si="26"/>
        <v>-10428.280000000001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2260.7399999999998</v>
      </c>
      <c r="I397" s="18"/>
      <c r="J397" s="24" t="s">
        <v>286</v>
      </c>
      <c r="K397" s="24" t="s">
        <v>286</v>
      </c>
      <c r="L397" s="56">
        <f t="shared" si="26"/>
        <v>2260.7399999999998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1079.6199999999999</v>
      </c>
      <c r="I398" s="18"/>
      <c r="J398" s="24" t="s">
        <v>286</v>
      </c>
      <c r="K398" s="24" t="s">
        <v>286</v>
      </c>
      <c r="L398" s="56">
        <f t="shared" si="26"/>
        <v>1079.6199999999999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14.84</v>
      </c>
      <c r="I399" s="18"/>
      <c r="J399" s="24" t="s">
        <v>286</v>
      </c>
      <c r="K399" s="24" t="s">
        <v>286</v>
      </c>
      <c r="L399" s="56">
        <f t="shared" si="26"/>
        <v>14.84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8979.08</v>
      </c>
      <c r="I400" s="18"/>
      <c r="J400" s="24" t="s">
        <v>286</v>
      </c>
      <c r="K400" s="24" t="s">
        <v>286</v>
      </c>
      <c r="L400" s="56">
        <f t="shared" si="26"/>
        <v>8979.08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1905.9999999999991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1905.9999999999991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2037.4999999999991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2037.4999999999991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5626.52</v>
      </c>
      <c r="G439" s="18">
        <v>81549.63</v>
      </c>
      <c r="H439" s="18"/>
      <c r="I439" s="56">
        <f t="shared" ref="I439:I445" si="33">SUM(F439:H439)</f>
        <v>87176.150000000009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5626.52</v>
      </c>
      <c r="G446" s="13">
        <f>SUM(G439:G445)</f>
        <v>81549.63</v>
      </c>
      <c r="H446" s="13">
        <f>SUM(H439:H445)</f>
        <v>0</v>
      </c>
      <c r="I446" s="13">
        <f>SUM(I439:I445)</f>
        <v>87176.150000000009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5626.52</v>
      </c>
      <c r="G459" s="18">
        <v>81549.63</v>
      </c>
      <c r="H459" s="18"/>
      <c r="I459" s="56">
        <f t="shared" si="34"/>
        <v>87176.150000000009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5626.52</v>
      </c>
      <c r="G460" s="83">
        <f>SUM(G454:G459)</f>
        <v>81549.63</v>
      </c>
      <c r="H460" s="83">
        <f>SUM(H454:H459)</f>
        <v>0</v>
      </c>
      <c r="I460" s="83">
        <f>SUM(I454:I459)</f>
        <v>87176.150000000009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5626.52</v>
      </c>
      <c r="G461" s="42">
        <f>G452+G460</f>
        <v>81549.63</v>
      </c>
      <c r="H461" s="42">
        <f>H452+H460</f>
        <v>0</v>
      </c>
      <c r="I461" s="42">
        <f>I452+I460</f>
        <v>87176.150000000009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228533</v>
      </c>
      <c r="G465" s="18">
        <v>9213.9</v>
      </c>
      <c r="H465" s="18">
        <v>5383.21</v>
      </c>
      <c r="I465" s="18"/>
      <c r="J465" s="18">
        <v>85138.65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9832428.9499999993</v>
      </c>
      <c r="G468" s="18">
        <v>163037.60999999999</v>
      </c>
      <c r="H468" s="18">
        <v>177315.83</v>
      </c>
      <c r="I468" s="18"/>
      <c r="J468" s="18">
        <v>2037.5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9832428.9499999993</v>
      </c>
      <c r="G470" s="53">
        <f>SUM(G468:G469)</f>
        <v>163037.60999999999</v>
      </c>
      <c r="H470" s="53">
        <f>SUM(H468:H469)</f>
        <v>177315.83</v>
      </c>
      <c r="I470" s="53">
        <f>SUM(I468:I469)</f>
        <v>0</v>
      </c>
      <c r="J470" s="53">
        <f>SUM(J468:J469)</f>
        <v>2037.5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9548603.0500000007</v>
      </c>
      <c r="G472" s="18">
        <v>172251.51</v>
      </c>
      <c r="H472" s="18">
        <v>177668.68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9548603.0500000007</v>
      </c>
      <c r="G474" s="53">
        <f>SUM(G472:G473)</f>
        <v>172251.51</v>
      </c>
      <c r="H474" s="53">
        <f>SUM(H472:H473)</f>
        <v>177668.68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512358.89999999851</v>
      </c>
      <c r="G476" s="53">
        <f>(G465+G470)- G474</f>
        <v>0</v>
      </c>
      <c r="H476" s="53">
        <f>(H465+H470)- H474</f>
        <v>5030.359999999986</v>
      </c>
      <c r="I476" s="53">
        <f>(I465+I470)- I474</f>
        <v>0</v>
      </c>
      <c r="J476" s="53">
        <f>(J465+J470)- J474</f>
        <v>87176.15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</f>
        <v>984110.12</v>
      </c>
      <c r="G521" s="18">
        <f t="shared" ref="G521:K521" si="36">G198</f>
        <v>496940.55</v>
      </c>
      <c r="H521" s="18">
        <f t="shared" si="36"/>
        <v>629431.85</v>
      </c>
      <c r="I521" s="18">
        <f t="shared" si="36"/>
        <v>9198.7800000000007</v>
      </c>
      <c r="J521" s="18">
        <f t="shared" si="36"/>
        <v>4454.29</v>
      </c>
      <c r="K521" s="18">
        <f t="shared" si="36"/>
        <v>985</v>
      </c>
      <c r="L521" s="88">
        <f>SUM(F521:K521)</f>
        <v>2125120.59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H234</f>
        <v>421585.08</v>
      </c>
      <c r="I523" s="18"/>
      <c r="J523" s="18"/>
      <c r="K523" s="18"/>
      <c r="L523" s="88">
        <f>SUM(F523:K523)</f>
        <v>421585.08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984110.12</v>
      </c>
      <c r="G524" s="108">
        <f t="shared" ref="G524:L524" si="37">SUM(G521:G523)</f>
        <v>496940.55</v>
      </c>
      <c r="H524" s="108">
        <f t="shared" si="37"/>
        <v>1051016.93</v>
      </c>
      <c r="I524" s="108">
        <f t="shared" si="37"/>
        <v>9198.7800000000007</v>
      </c>
      <c r="J524" s="108">
        <f t="shared" si="37"/>
        <v>4454.29</v>
      </c>
      <c r="K524" s="108">
        <f t="shared" si="37"/>
        <v>985</v>
      </c>
      <c r="L524" s="89">
        <f t="shared" si="37"/>
        <v>2546705.67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f>H202</f>
        <v>399023.57</v>
      </c>
      <c r="I526" s="18"/>
      <c r="J526" s="18"/>
      <c r="K526" s="18"/>
      <c r="L526" s="88">
        <f>SUM(F526:K526)</f>
        <v>399023.57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f>H238</f>
        <v>148853.32999999999</v>
      </c>
      <c r="I528" s="18"/>
      <c r="J528" s="18"/>
      <c r="K528" s="18"/>
      <c r="L528" s="88">
        <f>SUM(F528:K528)</f>
        <v>148853.32999999999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547876.9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547876.9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9697.68</v>
      </c>
      <c r="G531" s="18">
        <v>4468.7</v>
      </c>
      <c r="H531" s="18"/>
      <c r="I531" s="18"/>
      <c r="J531" s="18"/>
      <c r="K531" s="18"/>
      <c r="L531" s="88">
        <f>SUM(F531:K531)</f>
        <v>14166.380000000001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2424.42</v>
      </c>
      <c r="G533" s="18">
        <v>1117.18</v>
      </c>
      <c r="H533" s="18"/>
      <c r="I533" s="18"/>
      <c r="J533" s="18"/>
      <c r="K533" s="18"/>
      <c r="L533" s="88">
        <f>SUM(F533:K533)</f>
        <v>3541.6000000000004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12122.1</v>
      </c>
      <c r="G534" s="89">
        <f t="shared" ref="G534:L534" si="39">SUM(G531:G533)</f>
        <v>5585.88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17707.980000000003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>
        <v>100075.11</v>
      </c>
      <c r="J541" s="18"/>
      <c r="K541" s="18"/>
      <c r="L541" s="88">
        <f>SUM(F541:K541)</f>
        <v>100075.11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>
        <v>103187.86</v>
      </c>
      <c r="J543" s="18"/>
      <c r="K543" s="18"/>
      <c r="L543" s="88">
        <f>SUM(F543:K543)</f>
        <v>103187.86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0</v>
      </c>
      <c r="I544" s="193">
        <f t="shared" si="41"/>
        <v>203262.97</v>
      </c>
      <c r="J544" s="193">
        <f t="shared" si="41"/>
        <v>0</v>
      </c>
      <c r="K544" s="193">
        <f t="shared" si="41"/>
        <v>0</v>
      </c>
      <c r="L544" s="193">
        <f t="shared" si="41"/>
        <v>203262.97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996232.22</v>
      </c>
      <c r="G545" s="89">
        <f t="shared" ref="G545:L545" si="42">G524+G529+G534+G539+G544</f>
        <v>502526.43</v>
      </c>
      <c r="H545" s="89">
        <f t="shared" si="42"/>
        <v>1598893.83</v>
      </c>
      <c r="I545" s="89">
        <f t="shared" si="42"/>
        <v>212461.75</v>
      </c>
      <c r="J545" s="89">
        <f t="shared" si="42"/>
        <v>4454.29</v>
      </c>
      <c r="K545" s="89">
        <f t="shared" si="42"/>
        <v>985</v>
      </c>
      <c r="L545" s="89">
        <f t="shared" si="42"/>
        <v>3315553.52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2125120.59</v>
      </c>
      <c r="G549" s="87">
        <f>L526</f>
        <v>399023.57</v>
      </c>
      <c r="H549" s="87">
        <f>L531</f>
        <v>14166.380000000001</v>
      </c>
      <c r="I549" s="87">
        <f>L536</f>
        <v>0</v>
      </c>
      <c r="J549" s="87">
        <f>L541</f>
        <v>100075.11</v>
      </c>
      <c r="K549" s="87">
        <f>SUM(F549:J549)</f>
        <v>2638385.6499999994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421585.08</v>
      </c>
      <c r="G551" s="87">
        <f>L528</f>
        <v>148853.32999999999</v>
      </c>
      <c r="H551" s="87">
        <f>L533</f>
        <v>3541.6000000000004</v>
      </c>
      <c r="I551" s="87">
        <f>L538</f>
        <v>0</v>
      </c>
      <c r="J551" s="87">
        <f>L543</f>
        <v>103187.86</v>
      </c>
      <c r="K551" s="87">
        <f>SUM(F551:J551)</f>
        <v>677167.87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2546705.67</v>
      </c>
      <c r="G552" s="89">
        <f t="shared" si="43"/>
        <v>547876.9</v>
      </c>
      <c r="H552" s="89">
        <f t="shared" si="43"/>
        <v>17707.980000000003</v>
      </c>
      <c r="I552" s="89">
        <f t="shared" si="43"/>
        <v>0</v>
      </c>
      <c r="J552" s="89">
        <f t="shared" si="43"/>
        <v>203262.97</v>
      </c>
      <c r="K552" s="89">
        <f t="shared" si="43"/>
        <v>3315553.5199999996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>
        <v>34623.370000000003</v>
      </c>
      <c r="I562" s="18"/>
      <c r="J562" s="18"/>
      <c r="K562" s="18"/>
      <c r="L562" s="88">
        <f>SUM(F562:K562)</f>
        <v>34623.370000000003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34623.370000000003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34623.370000000003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34623.370000000003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34623.370000000003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1841627.98</v>
      </c>
      <c r="I575" s="87">
        <f>SUM(F575:H575)</f>
        <v>1841627.98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206823.22</v>
      </c>
      <c r="G579" s="18"/>
      <c r="H579" s="18">
        <v>290480.98</v>
      </c>
      <c r="I579" s="87">
        <f t="shared" si="48"/>
        <v>497304.19999999995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0</v>
      </c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82001.55</v>
      </c>
      <c r="G582" s="18"/>
      <c r="H582" s="18">
        <v>149489.43</v>
      </c>
      <c r="I582" s="87">
        <f t="shared" si="48"/>
        <v>231490.97999999998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321825.21999999997</v>
      </c>
      <c r="G583" s="18"/>
      <c r="H583" s="18"/>
      <c r="I583" s="87">
        <f t="shared" si="48"/>
        <v>321825.21999999997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261791.43</v>
      </c>
      <c r="I591" s="18"/>
      <c r="J591" s="18"/>
      <c r="K591" s="104">
        <f t="shared" ref="K591:K597" si="49">SUM(H591:J591)</f>
        <v>261791.43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100075.11</v>
      </c>
      <c r="I592" s="18"/>
      <c r="J592" s="18">
        <v>103187.86</v>
      </c>
      <c r="K592" s="104">
        <f t="shared" si="49"/>
        <v>203262.97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2095.02</v>
      </c>
      <c r="I594" s="18"/>
      <c r="J594" s="18"/>
      <c r="K594" s="104">
        <f t="shared" si="49"/>
        <v>2095.02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9421.7800000000007</v>
      </c>
      <c r="I595" s="18"/>
      <c r="J595" s="18"/>
      <c r="K595" s="104">
        <f t="shared" si="49"/>
        <v>9421.7800000000007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373383.34</v>
      </c>
      <c r="I598" s="108">
        <f>SUM(I591:I597)</f>
        <v>0</v>
      </c>
      <c r="J598" s="108">
        <f>SUM(J591:J597)</f>
        <v>103187.86</v>
      </c>
      <c r="K598" s="108">
        <f>SUM(K591:K597)</f>
        <v>476571.20000000007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J211+J290</f>
        <v>90381.85</v>
      </c>
      <c r="I604" s="18"/>
      <c r="J604" s="18"/>
      <c r="K604" s="104">
        <f>SUM(H604:J604)</f>
        <v>90381.85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90381.85</v>
      </c>
      <c r="I605" s="108">
        <f>SUM(I602:I604)</f>
        <v>0</v>
      </c>
      <c r="J605" s="108">
        <f>SUM(J602:J604)</f>
        <v>0</v>
      </c>
      <c r="K605" s="108">
        <f>SUM(K602:K604)</f>
        <v>90381.85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969908.87</v>
      </c>
      <c r="H617" s="109">
        <f>SUM(F52)</f>
        <v>969908.87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17734.14</v>
      </c>
      <c r="H618" s="109">
        <f>SUM(G52)</f>
        <v>17734.14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53116.72</v>
      </c>
      <c r="H619" s="109">
        <f>SUM(H52)</f>
        <v>53116.72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87176.150000000009</v>
      </c>
      <c r="H621" s="109">
        <f>SUM(J52)</f>
        <v>87176.150000000009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512358.9</v>
      </c>
      <c r="H622" s="109">
        <f>F476</f>
        <v>512358.89999999851</v>
      </c>
      <c r="I622" s="121" t="s">
        <v>101</v>
      </c>
      <c r="J622" s="109">
        <f t="shared" ref="J622:J655" si="51">G622-H622</f>
        <v>1.5133991837501526E-9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5030.3599999999997</v>
      </c>
      <c r="H624" s="109">
        <f>H476</f>
        <v>5030.359999999986</v>
      </c>
      <c r="I624" s="121" t="s">
        <v>103</v>
      </c>
      <c r="J624" s="109">
        <f t="shared" si="51"/>
        <v>1.3642420526593924E-11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87176.150000000009</v>
      </c>
      <c r="H626" s="109">
        <f>J476</f>
        <v>87176.15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9832428.9499999993</v>
      </c>
      <c r="H627" s="104">
        <f>SUM(F468)</f>
        <v>9832428.9499999993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163037.61000000002</v>
      </c>
      <c r="H628" s="104">
        <f>SUM(G468)</f>
        <v>163037.60999999999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177315.83</v>
      </c>
      <c r="H629" s="104">
        <f>SUM(H468)</f>
        <v>177315.83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2037.5</v>
      </c>
      <c r="H631" s="104">
        <f>SUM(J468)</f>
        <v>2037.5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9548603.0549694058</v>
      </c>
      <c r="H632" s="104">
        <f>SUM(F472)</f>
        <v>9548603.0500000007</v>
      </c>
      <c r="I632" s="140" t="s">
        <v>111</v>
      </c>
      <c r="J632" s="109">
        <f t="shared" si="51"/>
        <v>4.969405010342598E-3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177668.68</v>
      </c>
      <c r="H633" s="104">
        <f>SUM(H472)</f>
        <v>177668.68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87662.24</v>
      </c>
      <c r="H634" s="104">
        <f>I369</f>
        <v>87662.239999999991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172251.51</v>
      </c>
      <c r="H635" s="104">
        <f>SUM(G472)</f>
        <v>172251.51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2037.4999999999991</v>
      </c>
      <c r="H637" s="164">
        <f>SUM(J468)</f>
        <v>2037.5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5626.52</v>
      </c>
      <c r="H639" s="104">
        <f>SUM(F461)</f>
        <v>5626.52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81549.63</v>
      </c>
      <c r="H640" s="104">
        <f>SUM(G461)</f>
        <v>81549.63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87176.150000000009</v>
      </c>
      <c r="H642" s="104">
        <f>SUM(I461)</f>
        <v>87176.150000000009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2037.5</v>
      </c>
      <c r="H644" s="104">
        <f>H408</f>
        <v>2037.4999999999991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2037.5</v>
      </c>
      <c r="H646" s="104">
        <f>L408</f>
        <v>2037.4999999999991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476571.20000000007</v>
      </c>
      <c r="H647" s="104">
        <f>L208+L226+L244</f>
        <v>476571.2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90381.85</v>
      </c>
      <c r="H648" s="104">
        <f>(J257+J338)-(J255+J336)</f>
        <v>90381.85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373383.34</v>
      </c>
      <c r="H649" s="104">
        <f>H598</f>
        <v>373383.34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103187.86</v>
      </c>
      <c r="H651" s="104">
        <f>J598</f>
        <v>103187.86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5748.23</v>
      </c>
      <c r="H652" s="104">
        <f>K263+K345</f>
        <v>5748.23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4.9694068729877472E-3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7325401.3249694044</v>
      </c>
      <c r="G660" s="19">
        <f>(L229+L309+L359)</f>
        <v>0</v>
      </c>
      <c r="H660" s="19">
        <f>(L247+L328+L360)</f>
        <v>2515254.25</v>
      </c>
      <c r="I660" s="19">
        <f>SUM(F660:H660)</f>
        <v>9840655.5749694034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47657.69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47657.69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373383.34</v>
      </c>
      <c r="G662" s="19">
        <f>(L226+L306)-(J226+J306)</f>
        <v>0</v>
      </c>
      <c r="H662" s="19">
        <f>(L244+L325)-(J244+J325)</f>
        <v>103187.86</v>
      </c>
      <c r="I662" s="19">
        <f>SUM(F662:H662)</f>
        <v>476571.2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701031.84</v>
      </c>
      <c r="G663" s="199">
        <f>SUM(G575:G587)+SUM(I602:I604)+L612</f>
        <v>0</v>
      </c>
      <c r="H663" s="199">
        <f>SUM(H575:H587)+SUM(J602:J604)+L613</f>
        <v>2281598.39</v>
      </c>
      <c r="I663" s="19">
        <f>SUM(F663:H663)</f>
        <v>2982630.23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6203328.4549694043</v>
      </c>
      <c r="G664" s="19">
        <f>G660-SUM(G661:G663)</f>
        <v>0</v>
      </c>
      <c r="H664" s="19">
        <f>H660-SUM(H661:H663)</f>
        <v>130468</v>
      </c>
      <c r="I664" s="19">
        <f>I660-SUM(I661:I663)</f>
        <v>6333796.4549694033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359.81</v>
      </c>
      <c r="G665" s="248"/>
      <c r="H665" s="248"/>
      <c r="I665" s="19">
        <f>SUM(F665:H665)</f>
        <v>359.81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17240.57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17603.169999999998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-130468</v>
      </c>
      <c r="I669" s="19">
        <f>SUM(F669:H669)</f>
        <v>-130468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17240.57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17240.57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H582" sqref="H58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ALLENSTOWN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1500746.31</v>
      </c>
      <c r="C9" s="229">
        <f>'DOE25'!G197+'DOE25'!G215+'DOE25'!G233+'DOE25'!G276+'DOE25'!G295+'DOE25'!G314</f>
        <v>723569.93496940495</v>
      </c>
    </row>
    <row r="10" spans="1:3" x14ac:dyDescent="0.2">
      <c r="A10" t="s">
        <v>773</v>
      </c>
      <c r="B10" s="240">
        <v>1457126.2</v>
      </c>
      <c r="C10" s="240">
        <v>702538.93</v>
      </c>
    </row>
    <row r="11" spans="1:3" x14ac:dyDescent="0.2">
      <c r="A11" t="s">
        <v>774</v>
      </c>
      <c r="B11" s="240">
        <v>1127.95</v>
      </c>
      <c r="C11" s="240">
        <v>543.83000000000004</v>
      </c>
    </row>
    <row r="12" spans="1:3" x14ac:dyDescent="0.2">
      <c r="A12" t="s">
        <v>775</v>
      </c>
      <c r="B12" s="240">
        <v>42492.160000000003</v>
      </c>
      <c r="C12" s="240">
        <v>20487.169999999998</v>
      </c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1500746.3099999998</v>
      </c>
      <c r="C13" s="231">
        <f>SUM(C10:C12)</f>
        <v>723569.93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984110.12</v>
      </c>
      <c r="C18" s="229">
        <f>'DOE25'!G198+'DOE25'!G216+'DOE25'!G234+'DOE25'!G277+'DOE25'!G296+'DOE25'!G315</f>
        <v>496940.55</v>
      </c>
    </row>
    <row r="19" spans="1:3" x14ac:dyDescent="0.2">
      <c r="A19" t="s">
        <v>773</v>
      </c>
      <c r="B19" s="240">
        <v>622251.49</v>
      </c>
      <c r="C19" s="240">
        <v>314214.83</v>
      </c>
    </row>
    <row r="20" spans="1:3" x14ac:dyDescent="0.2">
      <c r="A20" t="s">
        <v>774</v>
      </c>
      <c r="B20" s="240">
        <v>279631.56</v>
      </c>
      <c r="C20" s="240">
        <v>141203.98000000001</v>
      </c>
    </row>
    <row r="21" spans="1:3" x14ac:dyDescent="0.2">
      <c r="A21" t="s">
        <v>775</v>
      </c>
      <c r="B21" s="240">
        <v>82227.070000000007</v>
      </c>
      <c r="C21" s="240">
        <v>41521.74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984110.12000000011</v>
      </c>
      <c r="C22" s="231">
        <f>SUM(C19:C21)</f>
        <v>496940.55000000005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14850</v>
      </c>
      <c r="C36" s="235">
        <f>'DOE25'!G200+'DOE25'!G218+'DOE25'!G236+'DOE25'!G279+'DOE25'!G298+'DOE25'!G317</f>
        <v>7498.72</v>
      </c>
    </row>
    <row r="37" spans="1:3" x14ac:dyDescent="0.2">
      <c r="A37" t="s">
        <v>773</v>
      </c>
      <c r="B37" s="240">
        <v>14850</v>
      </c>
      <c r="C37" s="240">
        <v>7498.72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14850</v>
      </c>
      <c r="C40" s="231">
        <f>SUM(C37:C39)</f>
        <v>7498.72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H582" sqref="H582"/>
      <selection pane="bottomLeft" activeCell="H582" sqref="H58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ALLENSTOWN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6682283.9549694043</v>
      </c>
      <c r="D5" s="20">
        <f>SUM('DOE25'!L197:L200)+SUM('DOE25'!L215:L218)+SUM('DOE25'!L233:L236)-F5-G5</f>
        <v>6635610.7249694038</v>
      </c>
      <c r="E5" s="243"/>
      <c r="F5" s="255">
        <f>SUM('DOE25'!J197:J200)+SUM('DOE25'!J215:J218)+SUM('DOE25'!J233:J236)</f>
        <v>45688.23</v>
      </c>
      <c r="G5" s="53">
        <f>SUM('DOE25'!K197:K200)+SUM('DOE25'!K215:K218)+SUM('DOE25'!K233:K236)</f>
        <v>985</v>
      </c>
      <c r="H5" s="259"/>
    </row>
    <row r="6" spans="1:9" x14ac:dyDescent="0.2">
      <c r="A6" s="32">
        <v>2100</v>
      </c>
      <c r="B6" t="s">
        <v>795</v>
      </c>
      <c r="C6" s="245">
        <f t="shared" si="0"/>
        <v>921466.28999999992</v>
      </c>
      <c r="D6" s="20">
        <f>'DOE25'!L202+'DOE25'!L220+'DOE25'!L238-F6-G6</f>
        <v>918301.33</v>
      </c>
      <c r="E6" s="243"/>
      <c r="F6" s="255">
        <f>'DOE25'!J202+'DOE25'!J220+'DOE25'!J238</f>
        <v>1965.96</v>
      </c>
      <c r="G6" s="53">
        <f>'DOE25'!K202+'DOE25'!K220+'DOE25'!K238</f>
        <v>1199</v>
      </c>
      <c r="H6" s="259"/>
    </row>
    <row r="7" spans="1:9" x14ac:dyDescent="0.2">
      <c r="A7" s="32">
        <v>2200</v>
      </c>
      <c r="B7" t="s">
        <v>828</v>
      </c>
      <c r="C7" s="245">
        <f t="shared" si="0"/>
        <v>93176.95</v>
      </c>
      <c r="D7" s="20">
        <f>'DOE25'!L203+'DOE25'!L221+'DOE25'!L239-F7-G7</f>
        <v>93176.95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181692.37</v>
      </c>
      <c r="D8" s="243"/>
      <c r="E8" s="20">
        <f>'DOE25'!L204+'DOE25'!L222+'DOE25'!L240-F8-G8-D9-D11</f>
        <v>176076.79999999999</v>
      </c>
      <c r="F8" s="255">
        <f>'DOE25'!J204+'DOE25'!J222+'DOE25'!J240</f>
        <v>760.19</v>
      </c>
      <c r="G8" s="53">
        <f>'DOE25'!K204+'DOE25'!K222+'DOE25'!K240</f>
        <v>4855.38</v>
      </c>
      <c r="H8" s="259"/>
    </row>
    <row r="9" spans="1:9" x14ac:dyDescent="0.2">
      <c r="A9" s="32">
        <v>2310</v>
      </c>
      <c r="B9" t="s">
        <v>812</v>
      </c>
      <c r="C9" s="245">
        <f t="shared" si="0"/>
        <v>10936.6</v>
      </c>
      <c r="D9" s="244">
        <v>10936.6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7270</v>
      </c>
      <c r="D10" s="243"/>
      <c r="E10" s="244">
        <v>7270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49103.57</v>
      </c>
      <c r="D11" s="244">
        <v>49103.57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538963.53</v>
      </c>
      <c r="D12" s="20">
        <f>'DOE25'!L205+'DOE25'!L223+'DOE25'!L241-F12-G12</f>
        <v>536453.28</v>
      </c>
      <c r="E12" s="243"/>
      <c r="F12" s="255">
        <f>'DOE25'!J205+'DOE25'!J223+'DOE25'!J241</f>
        <v>0</v>
      </c>
      <c r="G12" s="53">
        <f>'DOE25'!K205+'DOE25'!K223+'DOE25'!K241</f>
        <v>2510.25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536540.92000000016</v>
      </c>
      <c r="D14" s="20">
        <f>'DOE25'!L207+'DOE25'!L225+'DOE25'!L243-F14-G14</f>
        <v>511445.77000000008</v>
      </c>
      <c r="E14" s="243"/>
      <c r="F14" s="255">
        <f>'DOE25'!J207+'DOE25'!J225+'DOE25'!J243</f>
        <v>24971.23</v>
      </c>
      <c r="G14" s="53">
        <f>'DOE25'!K207+'DOE25'!K225+'DOE25'!K243</f>
        <v>123.92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476571.2</v>
      </c>
      <c r="D15" s="20">
        <f>'DOE25'!L208+'DOE25'!L226+'DOE25'!L244-F15-G15</f>
        <v>476571.2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93566.030000000013</v>
      </c>
      <c r="D29" s="20">
        <f>'DOE25'!L358+'DOE25'!L359+'DOE25'!L360-'DOE25'!I367-F29-G29</f>
        <v>92715.030000000013</v>
      </c>
      <c r="E29" s="243"/>
      <c r="F29" s="255">
        <f>'DOE25'!J358+'DOE25'!J359+'DOE25'!J360</f>
        <v>0</v>
      </c>
      <c r="G29" s="53">
        <f>'DOE25'!K358+'DOE25'!K359+'DOE25'!K360</f>
        <v>851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177668.68</v>
      </c>
      <c r="D31" s="20">
        <f>'DOE25'!L290+'DOE25'!L309+'DOE25'!L328+'DOE25'!L333+'DOE25'!L334+'DOE25'!L335-F31-G31</f>
        <v>157876.01</v>
      </c>
      <c r="E31" s="243"/>
      <c r="F31" s="255">
        <f>'DOE25'!J290+'DOE25'!J309+'DOE25'!J328+'DOE25'!J333+'DOE25'!J334+'DOE25'!J335</f>
        <v>16996.240000000002</v>
      </c>
      <c r="G31" s="53">
        <f>'DOE25'!K290+'DOE25'!K309+'DOE25'!K328+'DOE25'!K333+'DOE25'!K334+'DOE25'!K335</f>
        <v>2796.4300000000003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9482190.4649694022</v>
      </c>
      <c r="E33" s="246">
        <f>SUM(E5:E31)</f>
        <v>183346.8</v>
      </c>
      <c r="F33" s="246">
        <f>SUM(F5:F31)</f>
        <v>90381.85</v>
      </c>
      <c r="G33" s="246">
        <f>SUM(G5:G31)</f>
        <v>13320.980000000001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183346.8</v>
      </c>
      <c r="E35" s="249"/>
    </row>
    <row r="36" spans="2:8" ht="12" thickTop="1" x14ac:dyDescent="0.2">
      <c r="B36" t="s">
        <v>809</v>
      </c>
      <c r="D36" s="20">
        <f>D33</f>
        <v>9482190.4649694022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H582" sqref="H582"/>
      <selection pane="bottomLeft" activeCell="H582" sqref="H58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ALLENSTOWN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859715.37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87176.150000000009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37069.449999999997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73124.05</v>
      </c>
      <c r="D12" s="95">
        <f>'DOE25'!G13</f>
        <v>9626.42</v>
      </c>
      <c r="E12" s="95">
        <f>'DOE25'!H13</f>
        <v>48086.36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8107.72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5030.3599999999997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969908.87</v>
      </c>
      <c r="D18" s="41">
        <f>SUM(D8:D17)</f>
        <v>17734.14</v>
      </c>
      <c r="E18" s="41">
        <f>SUM(E8:E17)</f>
        <v>53116.72</v>
      </c>
      <c r="F18" s="41">
        <f>SUM(F8:F17)</f>
        <v>0</v>
      </c>
      <c r="G18" s="41">
        <f>SUM(G8:G17)</f>
        <v>87176.150000000009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8189.69</v>
      </c>
      <c r="E21" s="95">
        <f>'DOE25'!H22</f>
        <v>33486.58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450436.36</v>
      </c>
      <c r="D22" s="95">
        <f>'DOE25'!G23</f>
        <v>9544.4500000000007</v>
      </c>
      <c r="E22" s="95">
        <f>'DOE25'!H23</f>
        <v>14599.78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5274.68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1838.93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457549.97</v>
      </c>
      <c r="D31" s="41">
        <f>SUM(D21:D30)</f>
        <v>17734.14</v>
      </c>
      <c r="E31" s="41">
        <f>SUM(E21:E30)</f>
        <v>48086.36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50000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5030.3599999999997</v>
      </c>
      <c r="F47" s="95">
        <f>'DOE25'!I48</f>
        <v>0</v>
      </c>
      <c r="G47" s="95">
        <f>'DOE25'!J48</f>
        <v>87176.150000000009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 t="str">
        <f>'DOE25'!H49</f>
        <v xml:space="preserve"> 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422358.9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512358.9</v>
      </c>
      <c r="D50" s="41">
        <f>SUM(D34:D49)</f>
        <v>0</v>
      </c>
      <c r="E50" s="41">
        <f>SUM(E34:E49)</f>
        <v>5030.3599999999997</v>
      </c>
      <c r="F50" s="41">
        <f>SUM(F34:F49)</f>
        <v>0</v>
      </c>
      <c r="G50" s="41">
        <f>SUM(G34:G49)</f>
        <v>87176.150000000009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969908.87</v>
      </c>
      <c r="D51" s="41">
        <f>D50+D31</f>
        <v>17734.14</v>
      </c>
      <c r="E51" s="41">
        <f>E50+E31</f>
        <v>53116.72</v>
      </c>
      <c r="F51" s="41">
        <f>F50+F31</f>
        <v>0</v>
      </c>
      <c r="G51" s="41">
        <f>G50+G31</f>
        <v>87176.150000000009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4981077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10388.24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5568.35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2037.5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46677.64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112907.43</v>
      </c>
      <c r="D61" s="95">
        <f>SUM('DOE25'!G98:G110)</f>
        <v>980.05</v>
      </c>
      <c r="E61" s="95">
        <f>SUM('DOE25'!H98:H110)</f>
        <v>454.07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128864.01999999999</v>
      </c>
      <c r="D62" s="130">
        <f>SUM(D57:D61)</f>
        <v>47657.69</v>
      </c>
      <c r="E62" s="130">
        <f>SUM(E57:E61)</f>
        <v>454.07</v>
      </c>
      <c r="F62" s="130">
        <f>SUM(F57:F61)</f>
        <v>0</v>
      </c>
      <c r="G62" s="130">
        <f>SUM(G57:G61)</f>
        <v>2037.5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5109941.0199999996</v>
      </c>
      <c r="D63" s="22">
        <f>D56+D62</f>
        <v>47657.69</v>
      </c>
      <c r="E63" s="22">
        <f>E56+E62</f>
        <v>454.07</v>
      </c>
      <c r="F63" s="22">
        <f>F56+F62</f>
        <v>0</v>
      </c>
      <c r="G63" s="22">
        <f>G56+G62</f>
        <v>2037.5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3798594.01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584288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13824.46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4396706.47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105515.55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2253.58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105515.55</v>
      </c>
      <c r="D78" s="130">
        <f>SUM(D72:D77)</f>
        <v>2253.58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4502222.0199999996</v>
      </c>
      <c r="D81" s="130">
        <f>SUM(D79:D80)+D78+D70</f>
        <v>2253.58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220265.91</v>
      </c>
      <c r="D88" s="95">
        <f>SUM('DOE25'!G153:G161)</f>
        <v>107378.11</v>
      </c>
      <c r="E88" s="95">
        <f>SUM('DOE25'!H153:H161)</f>
        <v>176861.75999999998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220265.91</v>
      </c>
      <c r="D91" s="131">
        <f>SUM(D85:D90)</f>
        <v>107378.11</v>
      </c>
      <c r="E91" s="131">
        <f>SUM(E85:E90)</f>
        <v>176861.75999999998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5748.23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5748.23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9832428.9499999993</v>
      </c>
      <c r="D104" s="86">
        <f>D63+D81+D91+D103</f>
        <v>163037.61000000002</v>
      </c>
      <c r="E104" s="86">
        <f>E63+E81+E91+E103</f>
        <v>177315.83</v>
      </c>
      <c r="F104" s="86">
        <f>F63+F81+F91+F103</f>
        <v>0</v>
      </c>
      <c r="G104" s="86">
        <f>G63+G81+G103</f>
        <v>2037.5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4109395.8349694046</v>
      </c>
      <c r="D109" s="24" t="s">
        <v>286</v>
      </c>
      <c r="E109" s="95">
        <f>('DOE25'!L276)+('DOE25'!L295)+('DOE25'!L314)</f>
        <v>129732.6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2546705.67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26182.45</v>
      </c>
      <c r="D112" s="24" t="s">
        <v>286</v>
      </c>
      <c r="E112" s="95">
        <f>+('DOE25'!L279)+('DOE25'!L298)+('DOE25'!L317)</f>
        <v>1056.2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6682283.9549694052</v>
      </c>
      <c r="D115" s="86">
        <f>SUM(D109:D114)</f>
        <v>0</v>
      </c>
      <c r="E115" s="86">
        <f>SUM(E109:E114)</f>
        <v>130788.8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921466.28999999992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93176.95</v>
      </c>
      <c r="D119" s="24" t="s">
        <v>286</v>
      </c>
      <c r="E119" s="95">
        <f>+('DOE25'!L282)+('DOE25'!L301)+('DOE25'!L320)</f>
        <v>40583.449999999997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241732.54</v>
      </c>
      <c r="D120" s="24" t="s">
        <v>286</v>
      </c>
      <c r="E120" s="95">
        <f>+('DOE25'!L283)+('DOE25'!L302)+('DOE25'!L321)</f>
        <v>3166.9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538963.53</v>
      </c>
      <c r="D121" s="24" t="s">
        <v>286</v>
      </c>
      <c r="E121" s="95">
        <f>+('DOE25'!L284)+('DOE25'!L303)+('DOE25'!L322)</f>
        <v>3129.5299999999997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536540.92000000004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476571.2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172251.51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2808451.43</v>
      </c>
      <c r="D128" s="86">
        <f>SUM(D118:D127)</f>
        <v>172251.51</v>
      </c>
      <c r="E128" s="86">
        <f>SUM(E118:E127)</f>
        <v>46879.88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5748.23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131.49999999999997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1905.9999999999991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-2037.4999999999991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52119.44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57867.67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9548603.0549694058</v>
      </c>
      <c r="D145" s="86">
        <f>(D115+D128+D144)</f>
        <v>172251.51</v>
      </c>
      <c r="E145" s="86">
        <f>(E115+E128+E144)</f>
        <v>177668.68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H582" sqref="H58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ALLENSTOWN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17241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17241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4239128</v>
      </c>
      <c r="D10" s="182">
        <f>ROUND((C10/$C$28)*100,1)</f>
        <v>43.1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2546706</v>
      </c>
      <c r="D11" s="182">
        <f>ROUND((C11/$C$28)*100,1)</f>
        <v>25.9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27239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921466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133760</v>
      </c>
      <c r="D16" s="182">
        <f t="shared" si="0"/>
        <v>1.4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244899</v>
      </c>
      <c r="D17" s="182">
        <f t="shared" si="0"/>
        <v>2.5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542093</v>
      </c>
      <c r="D18" s="182">
        <f t="shared" si="0"/>
        <v>5.5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536541</v>
      </c>
      <c r="D20" s="182">
        <f t="shared" si="0"/>
        <v>5.4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476571</v>
      </c>
      <c r="D21" s="182">
        <f t="shared" si="0"/>
        <v>4.8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52119.44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124594.31</v>
      </c>
      <c r="D27" s="182">
        <f t="shared" si="0"/>
        <v>1.3</v>
      </c>
    </row>
    <row r="28" spans="1:4" x14ac:dyDescent="0.2">
      <c r="B28" s="187" t="s">
        <v>717</v>
      </c>
      <c r="C28" s="180">
        <f>SUM(C10:C27)</f>
        <v>9845116.75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9845116.75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4981077</v>
      </c>
      <c r="D35" s="182">
        <f t="shared" ref="D35:D40" si="1">ROUND((C35/$C$41)*100,1)</f>
        <v>49.2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131355.59000000078</v>
      </c>
      <c r="D36" s="182">
        <f t="shared" si="1"/>
        <v>1.3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4382882</v>
      </c>
      <c r="D37" s="182">
        <f t="shared" si="1"/>
        <v>43.3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121594</v>
      </c>
      <c r="D38" s="182">
        <f t="shared" si="1"/>
        <v>1.2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504506</v>
      </c>
      <c r="D39" s="182">
        <f t="shared" si="1"/>
        <v>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10121414.59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H582" sqref="H582"/>
      <selection pane="bottomLeft" activeCell="H582" sqref="H58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ALLENSTOWN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2018-11-20T14:27:44Z</cp:lastPrinted>
  <dcterms:created xsi:type="dcterms:W3CDTF">1997-12-04T19:04:30Z</dcterms:created>
  <dcterms:modified xsi:type="dcterms:W3CDTF">2018-11-20T14:27:47Z</dcterms:modified>
</cp:coreProperties>
</file>