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0350" yWindow="-15" windowWidth="10395" windowHeight="108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9" i="1" l="1"/>
  <c r="C39" i="12" l="1"/>
  <c r="C37" i="12"/>
  <c r="C10" i="12"/>
  <c r="G23" i="1"/>
  <c r="G12" i="1"/>
  <c r="K358" i="1"/>
  <c r="G472" i="1"/>
  <c r="F472" i="1"/>
  <c r="F28" i="1"/>
  <c r="F204" i="1"/>
  <c r="G13" i="1"/>
  <c r="G531" i="1"/>
  <c r="F531" i="1"/>
  <c r="H13" i="1"/>
  <c r="H28" i="1"/>
  <c r="I521" i="1"/>
  <c r="H521" i="1"/>
  <c r="J521" i="1"/>
  <c r="H523" i="1"/>
  <c r="H155" i="1"/>
  <c r="I282" i="1"/>
  <c r="H282" i="1"/>
  <c r="F282" i="1"/>
  <c r="J276" i="1"/>
  <c r="I276" i="1"/>
  <c r="H276" i="1"/>
  <c r="G276" i="1"/>
  <c r="F276" i="1"/>
  <c r="K276" i="1"/>
  <c r="G282" i="1"/>
  <c r="H281" i="1"/>
  <c r="I277" i="1"/>
  <c r="G277" i="1"/>
  <c r="J277" i="1"/>
  <c r="H255" i="1"/>
  <c r="H244" i="1"/>
  <c r="H234" i="1"/>
  <c r="H582" i="1"/>
  <c r="F582" i="1"/>
  <c r="K567" i="1"/>
  <c r="J567" i="1"/>
  <c r="I567" i="1"/>
  <c r="G567" i="1"/>
  <c r="F567" i="1"/>
  <c r="G526" i="1"/>
  <c r="F526" i="1"/>
  <c r="H154" i="1"/>
  <c r="F110" i="1"/>
  <c r="G158" i="1"/>
  <c r="F367" i="1"/>
  <c r="J358" i="1"/>
  <c r="I358" i="1"/>
  <c r="H358" i="1"/>
  <c r="G358" i="1"/>
  <c r="F358" i="1"/>
  <c r="G389" i="1"/>
  <c r="H396" i="1"/>
  <c r="H392" i="1"/>
  <c r="H389" i="1"/>
  <c r="H415" i="1"/>
  <c r="J468" i="1"/>
  <c r="H439" i="1"/>
  <c r="F439" i="1"/>
  <c r="C45" i="2"/>
  <c r="G51" i="1"/>
  <c r="F51" i="1"/>
  <c r="F52" i="1" s="1"/>
  <c r="H617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/>
  <c r="L227" i="1"/>
  <c r="L245" i="1"/>
  <c r="F5" i="13"/>
  <c r="L198" i="1"/>
  <c r="L199" i="1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/>
  <c r="L221" i="1"/>
  <c r="L239" i="1"/>
  <c r="F12" i="13"/>
  <c r="G12" i="13"/>
  <c r="L205" i="1"/>
  <c r="L223" i="1"/>
  <c r="L241" i="1"/>
  <c r="F14" i="13"/>
  <c r="G14" i="13"/>
  <c r="L207" i="1"/>
  <c r="C123" i="2"/>
  <c r="L225" i="1"/>
  <c r="L243" i="1"/>
  <c r="F15" i="13"/>
  <c r="G15" i="13"/>
  <c r="L208" i="1"/>
  <c r="L226" i="1"/>
  <c r="G662" i="1"/>
  <c r="L244" i="1"/>
  <c r="F17" i="13"/>
  <c r="G17" i="13"/>
  <c r="L251" i="1"/>
  <c r="F18" i="13"/>
  <c r="G18" i="13"/>
  <c r="L252" i="1"/>
  <c r="D18" i="13"/>
  <c r="C18" i="13"/>
  <c r="F19" i="13"/>
  <c r="D19" i="13"/>
  <c r="C19" i="13"/>
  <c r="G19" i="13"/>
  <c r="L253" i="1"/>
  <c r="F29" i="13"/>
  <c r="G29" i="13"/>
  <c r="L358" i="1"/>
  <c r="L359" i="1"/>
  <c r="L360" i="1"/>
  <c r="I367" i="1"/>
  <c r="I369" i="1"/>
  <c r="H634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C57" i="2"/>
  <c r="F94" i="1"/>
  <c r="C58" i="2"/>
  <c r="F111" i="1"/>
  <c r="G111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40" i="1"/>
  <c r="H136" i="1"/>
  <c r="I121" i="1"/>
  <c r="I136" i="1"/>
  <c r="J121" i="1"/>
  <c r="J140" i="1"/>
  <c r="J136" i="1"/>
  <c r="F147" i="1"/>
  <c r="F162" i="1"/>
  <c r="F169" i="1"/>
  <c r="G147" i="1"/>
  <c r="D85" i="2"/>
  <c r="D91" i="2"/>
  <c r="G162" i="1"/>
  <c r="H147" i="1"/>
  <c r="H162" i="1"/>
  <c r="H169" i="1" s="1"/>
  <c r="I147" i="1"/>
  <c r="F85" i="2"/>
  <c r="I162" i="1"/>
  <c r="L250" i="1"/>
  <c r="C113" i="2"/>
  <c r="L332" i="1"/>
  <c r="L254" i="1"/>
  <c r="L268" i="1"/>
  <c r="L269" i="1"/>
  <c r="C143" i="2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/>
  <c r="L345" i="1"/>
  <c r="E135" i="2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I552" i="1"/>
  <c r="L541" i="1"/>
  <c r="J549" i="1"/>
  <c r="J552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D50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0" i="2" s="1"/>
  <c r="C51" i="2" s="1"/>
  <c r="D56" i="2"/>
  <c r="E56" i="2"/>
  <c r="F56" i="2"/>
  <c r="E58" i="2"/>
  <c r="C59" i="2"/>
  <c r="D59" i="2"/>
  <c r="E59" i="2"/>
  <c r="F59" i="2"/>
  <c r="D60" i="2"/>
  <c r="C61" i="2"/>
  <c r="D61" i="2"/>
  <c r="D62" i="2"/>
  <c r="D63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C78" i="2"/>
  <c r="F73" i="2"/>
  <c r="F78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1" i="2"/>
  <c r="E112" i="2"/>
  <c r="E113" i="2"/>
  <c r="C114" i="2"/>
  <c r="D115" i="2"/>
  <c r="F115" i="2"/>
  <c r="G115" i="2"/>
  <c r="E120" i="2"/>
  <c r="E121" i="2"/>
  <c r="E124" i="2"/>
  <c r="E125" i="2"/>
  <c r="F128" i="2"/>
  <c r="G128" i="2"/>
  <c r="C130" i="2"/>
  <c r="F130" i="2"/>
  <c r="F144" i="2" s="1"/>
  <c r="F145" i="2" s="1"/>
  <c r="D134" i="2"/>
  <c r="D144" i="2"/>
  <c r="F134" i="2"/>
  <c r="K419" i="1"/>
  <c r="K427" i="1"/>
  <c r="K433" i="1"/>
  <c r="L263" i="1"/>
  <c r="C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 s="1"/>
  <c r="G19" i="1"/>
  <c r="G618" i="1"/>
  <c r="H19" i="1"/>
  <c r="G619" i="1"/>
  <c r="I19" i="1"/>
  <c r="G620" i="1"/>
  <c r="F32" i="1"/>
  <c r="G32" i="1"/>
  <c r="G52" i="1"/>
  <c r="H618" i="1"/>
  <c r="H32" i="1"/>
  <c r="I32" i="1"/>
  <c r="H51" i="1"/>
  <c r="I51" i="1"/>
  <c r="I52" i="1"/>
  <c r="H620" i="1"/>
  <c r="F177" i="1"/>
  <c r="I177" i="1"/>
  <c r="F183" i="1"/>
  <c r="F192" i="1"/>
  <c r="G183" i="1"/>
  <c r="G192" i="1"/>
  <c r="H183" i="1"/>
  <c r="I183" i="1"/>
  <c r="J183" i="1"/>
  <c r="J192" i="1"/>
  <c r="F188" i="1"/>
  <c r="G188" i="1"/>
  <c r="H188" i="1"/>
  <c r="I188" i="1"/>
  <c r="F211" i="1"/>
  <c r="F257" i="1"/>
  <c r="F271" i="1"/>
  <c r="G211" i="1"/>
  <c r="G257" i="1"/>
  <c r="G271" i="1"/>
  <c r="H211" i="1"/>
  <c r="I211" i="1"/>
  <c r="I257" i="1"/>
  <c r="J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/>
  <c r="F401" i="1"/>
  <c r="G401" i="1"/>
  <c r="H401" i="1"/>
  <c r="H408" i="1"/>
  <c r="H644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H446" i="1"/>
  <c r="F452" i="1"/>
  <c r="F461" i="1"/>
  <c r="H639" i="1"/>
  <c r="G452" i="1"/>
  <c r="G461" i="1"/>
  <c r="H640" i="1"/>
  <c r="H452" i="1"/>
  <c r="F460" i="1"/>
  <c r="G460" i="1"/>
  <c r="H460" i="1"/>
  <c r="H461" i="1"/>
  <c r="H641" i="1"/>
  <c r="F470" i="1"/>
  <c r="G470" i="1"/>
  <c r="H470" i="1"/>
  <c r="I470" i="1"/>
  <c r="J470" i="1"/>
  <c r="F474" i="1"/>
  <c r="G474" i="1"/>
  <c r="H474" i="1"/>
  <c r="H476" i="1"/>
  <c r="H624" i="1"/>
  <c r="I474" i="1"/>
  <c r="J474" i="1"/>
  <c r="J476" i="1"/>
  <c r="H626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I571" i="1"/>
  <c r="J560" i="1"/>
  <c r="J571" i="1"/>
  <c r="K560" i="1"/>
  <c r="L562" i="1"/>
  <c r="L563" i="1"/>
  <c r="L564" i="1"/>
  <c r="F565" i="1"/>
  <c r="G565" i="1"/>
  <c r="H565" i="1"/>
  <c r="I565" i="1"/>
  <c r="J565" i="1"/>
  <c r="K565" i="1"/>
  <c r="L567" i="1"/>
  <c r="L570" i="1"/>
  <c r="L568" i="1"/>
  <c r="L569" i="1"/>
  <c r="F570" i="1"/>
  <c r="G570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5" i="1"/>
  <c r="G648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G643" i="1"/>
  <c r="H643" i="1"/>
  <c r="G644" i="1"/>
  <c r="H645" i="1"/>
  <c r="G650" i="1"/>
  <c r="G651" i="1"/>
  <c r="G652" i="1"/>
  <c r="H652" i="1"/>
  <c r="G653" i="1"/>
  <c r="H653" i="1"/>
  <c r="G654" i="1"/>
  <c r="H654" i="1"/>
  <c r="H655" i="1"/>
  <c r="L328" i="1"/>
  <c r="E78" i="2"/>
  <c r="E81" i="2"/>
  <c r="G338" i="1"/>
  <c r="G352" i="1"/>
  <c r="G22" i="2"/>
  <c r="H192" i="1"/>
  <c r="E16" i="13"/>
  <c r="G36" i="2"/>
  <c r="L565" i="1"/>
  <c r="G161" i="2"/>
  <c r="L362" i="1"/>
  <c r="H661" i="1"/>
  <c r="F476" i="1"/>
  <c r="H622" i="1" s="1"/>
  <c r="E8" i="13"/>
  <c r="C8" i="13"/>
  <c r="C20" i="10"/>
  <c r="A13" i="12"/>
  <c r="D18" i="2"/>
  <c r="J640" i="1"/>
  <c r="I545" i="1"/>
  <c r="J257" i="1"/>
  <c r="J271" i="1"/>
  <c r="G164" i="2"/>
  <c r="G157" i="2"/>
  <c r="D81" i="2"/>
  <c r="A40" i="12"/>
  <c r="C29" i="10"/>
  <c r="E114" i="2"/>
  <c r="L309" i="1"/>
  <c r="E122" i="2"/>
  <c r="E118" i="2"/>
  <c r="D17" i="13"/>
  <c r="C17" i="13"/>
  <c r="C21" i="10"/>
  <c r="D14" i="13"/>
  <c r="C14" i="13"/>
  <c r="D12" i="13"/>
  <c r="C12" i="13"/>
  <c r="D7" i="13"/>
  <c r="C7" i="13"/>
  <c r="C118" i="2"/>
  <c r="L247" i="1"/>
  <c r="L229" i="1"/>
  <c r="C12" i="10"/>
  <c r="C122" i="2"/>
  <c r="J643" i="1"/>
  <c r="H338" i="1"/>
  <c r="H352" i="1"/>
  <c r="L256" i="1"/>
  <c r="K550" i="1"/>
  <c r="H112" i="1"/>
  <c r="G645" i="1"/>
  <c r="K500" i="1"/>
  <c r="J624" i="1"/>
  <c r="I476" i="1"/>
  <c r="H625" i="1"/>
  <c r="L433" i="1"/>
  <c r="L419" i="1"/>
  <c r="K338" i="1"/>
  <c r="C121" i="2"/>
  <c r="G81" i="2"/>
  <c r="F18" i="2"/>
  <c r="C18" i="2"/>
  <c r="H552" i="1"/>
  <c r="G661" i="1"/>
  <c r="C13" i="10"/>
  <c r="C32" i="10"/>
  <c r="C16" i="10"/>
  <c r="C11" i="10"/>
  <c r="I169" i="1"/>
  <c r="L534" i="1"/>
  <c r="C91" i="2"/>
  <c r="C70" i="2"/>
  <c r="C35" i="10"/>
  <c r="L401" i="1"/>
  <c r="C139" i="2"/>
  <c r="L560" i="1"/>
  <c r="J545" i="1"/>
  <c r="G476" i="1"/>
  <c r="H623" i="1"/>
  <c r="J623" i="1"/>
  <c r="I452" i="1"/>
  <c r="F338" i="1"/>
  <c r="F352" i="1"/>
  <c r="C26" i="10"/>
  <c r="H52" i="1"/>
  <c r="H619" i="1"/>
  <c r="E31" i="2"/>
  <c r="K545" i="1"/>
  <c r="F552" i="1"/>
  <c r="K551" i="1"/>
  <c r="L524" i="1"/>
  <c r="G545" i="1"/>
  <c r="C17" i="10"/>
  <c r="E110" i="2"/>
  <c r="E119" i="2"/>
  <c r="E128" i="2"/>
  <c r="L290" i="1"/>
  <c r="C132" i="2"/>
  <c r="L270" i="1"/>
  <c r="H25" i="13"/>
  <c r="C25" i="13"/>
  <c r="H257" i="1"/>
  <c r="H271" i="1"/>
  <c r="J651" i="1"/>
  <c r="K598" i="1"/>
  <c r="G647" i="1"/>
  <c r="K571" i="1"/>
  <c r="F571" i="1"/>
  <c r="H545" i="1"/>
  <c r="K549" i="1"/>
  <c r="K552" i="1"/>
  <c r="F112" i="1"/>
  <c r="D31" i="2"/>
  <c r="D51" i="2"/>
  <c r="J634" i="1"/>
  <c r="J645" i="1"/>
  <c r="L393" i="1"/>
  <c r="C138" i="2"/>
  <c r="L427" i="1"/>
  <c r="J655" i="1"/>
  <c r="J644" i="1"/>
  <c r="J641" i="1"/>
  <c r="I460" i="1"/>
  <c r="J639" i="1"/>
  <c r="I446" i="1"/>
  <c r="G642" i="1"/>
  <c r="C81" i="2"/>
  <c r="E109" i="2"/>
  <c r="E115" i="2"/>
  <c r="C62" i="2"/>
  <c r="E57" i="2"/>
  <c r="E62" i="2"/>
  <c r="E63" i="2"/>
  <c r="F661" i="1"/>
  <c r="C19" i="10"/>
  <c r="C15" i="10"/>
  <c r="G112" i="1"/>
  <c r="G552" i="1"/>
  <c r="D29" i="13"/>
  <c r="C29" i="13"/>
  <c r="I271" i="1"/>
  <c r="K503" i="1"/>
  <c r="L382" i="1"/>
  <c r="G636" i="1"/>
  <c r="J636" i="1"/>
  <c r="E13" i="13"/>
  <c r="C13" i="13"/>
  <c r="D6" i="13"/>
  <c r="C6" i="13"/>
  <c r="D15" i="13"/>
  <c r="C15" i="13"/>
  <c r="G649" i="1"/>
  <c r="J649" i="1"/>
  <c r="J338" i="1"/>
  <c r="J352" i="1"/>
  <c r="E130" i="2"/>
  <c r="E144" i="2"/>
  <c r="D127" i="2"/>
  <c r="D128" i="2"/>
  <c r="D145" i="2"/>
  <c r="C124" i="2"/>
  <c r="C120" i="2"/>
  <c r="C111" i="2"/>
  <c r="C56" i="2"/>
  <c r="F662" i="1"/>
  <c r="I662" i="1"/>
  <c r="C18" i="10"/>
  <c r="C16" i="13"/>
  <c r="F22" i="13"/>
  <c r="C22" i="13"/>
  <c r="L539" i="1"/>
  <c r="K352" i="1"/>
  <c r="F81" i="2"/>
  <c r="L351" i="1"/>
  <c r="H647" i="1"/>
  <c r="G625" i="1"/>
  <c r="L614" i="1"/>
  <c r="L529" i="1"/>
  <c r="L545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F50" i="2"/>
  <c r="C24" i="10"/>
  <c r="G660" i="1"/>
  <c r="G31" i="13"/>
  <c r="I338" i="1"/>
  <c r="I352" i="1"/>
  <c r="J650" i="1"/>
  <c r="L407" i="1"/>
  <c r="C140" i="2"/>
  <c r="C141" i="2"/>
  <c r="C144" i="2"/>
  <c r="L571" i="1"/>
  <c r="I192" i="1"/>
  <c r="E91" i="2"/>
  <c r="E104" i="2" s="1"/>
  <c r="L408" i="1"/>
  <c r="G637" i="1"/>
  <c r="J637" i="1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G169" i="1"/>
  <c r="G140" i="1"/>
  <c r="F140" i="1"/>
  <c r="F193" i="1"/>
  <c r="G627" i="1"/>
  <c r="J627" i="1"/>
  <c r="G63" i="2"/>
  <c r="J618" i="1"/>
  <c r="G42" i="2"/>
  <c r="G50" i="2"/>
  <c r="G51" i="2"/>
  <c r="J51" i="1"/>
  <c r="G16" i="2"/>
  <c r="J19" i="1"/>
  <c r="G621" i="1"/>
  <c r="G18" i="2"/>
  <c r="F545" i="1"/>
  <c r="H434" i="1"/>
  <c r="J620" i="1"/>
  <c r="J619" i="1"/>
  <c r="D103" i="2"/>
  <c r="D104" i="2"/>
  <c r="I140" i="1"/>
  <c r="I193" i="1"/>
  <c r="G630" i="1"/>
  <c r="J630" i="1"/>
  <c r="A22" i="12"/>
  <c r="J652" i="1"/>
  <c r="G571" i="1"/>
  <c r="I434" i="1"/>
  <c r="G434" i="1"/>
  <c r="I663" i="1"/>
  <c r="C27" i="10"/>
  <c r="G635" i="1"/>
  <c r="J635" i="1"/>
  <c r="I661" i="1"/>
  <c r="G664" i="1"/>
  <c r="G667" i="1"/>
  <c r="C36" i="10"/>
  <c r="F51" i="2"/>
  <c r="F104" i="2"/>
  <c r="J625" i="1"/>
  <c r="H660" i="1"/>
  <c r="H664" i="1"/>
  <c r="H667" i="1"/>
  <c r="I461" i="1"/>
  <c r="H642" i="1"/>
  <c r="J642" i="1"/>
  <c r="E51" i="2"/>
  <c r="C128" i="2"/>
  <c r="H648" i="1"/>
  <c r="J648" i="1"/>
  <c r="L338" i="1"/>
  <c r="L352" i="1"/>
  <c r="G633" i="1"/>
  <c r="J633" i="1"/>
  <c r="E145" i="2"/>
  <c r="H33" i="13"/>
  <c r="J647" i="1"/>
  <c r="G672" i="1"/>
  <c r="C5" i="10"/>
  <c r="G104" i="2"/>
  <c r="H646" i="1"/>
  <c r="J646" i="1"/>
  <c r="D31" i="13"/>
  <c r="C31" i="13"/>
  <c r="C63" i="2"/>
  <c r="C104" i="2"/>
  <c r="F33" i="13"/>
  <c r="E33" i="13"/>
  <c r="D35" i="13"/>
  <c r="G631" i="1"/>
  <c r="J631" i="1"/>
  <c r="G193" i="1"/>
  <c r="G628" i="1"/>
  <c r="J628" i="1"/>
  <c r="G626" i="1"/>
  <c r="J626" i="1"/>
  <c r="J52" i="1"/>
  <c r="H621" i="1"/>
  <c r="J621" i="1"/>
  <c r="C38" i="10"/>
  <c r="H672" i="1"/>
  <c r="C6" i="10"/>
  <c r="C10" i="10"/>
  <c r="C28" i="10"/>
  <c r="K211" i="1"/>
  <c r="K257" i="1"/>
  <c r="K271" i="1"/>
  <c r="L197" i="1"/>
  <c r="L211" i="1"/>
  <c r="C109" i="2"/>
  <c r="C115" i="2"/>
  <c r="C145" i="2"/>
  <c r="G5" i="13"/>
  <c r="D5" i="13"/>
  <c r="C5" i="13"/>
  <c r="D33" i="13"/>
  <c r="D36" i="13"/>
  <c r="D23" i="10"/>
  <c r="D18" i="10"/>
  <c r="D16" i="10"/>
  <c r="D27" i="10"/>
  <c r="D22" i="10"/>
  <c r="D15" i="10"/>
  <c r="D24" i="10"/>
  <c r="D25" i="10"/>
  <c r="D17" i="10"/>
  <c r="C30" i="10"/>
  <c r="D19" i="10"/>
  <c r="D13" i="10"/>
  <c r="D21" i="10"/>
  <c r="D26" i="10"/>
  <c r="D12" i="10"/>
  <c r="D11" i="10"/>
  <c r="D20" i="10"/>
  <c r="L257" i="1"/>
  <c r="L271" i="1"/>
  <c r="G632" i="1"/>
  <c r="F660" i="1"/>
  <c r="G33" i="13"/>
  <c r="D10" i="10"/>
  <c r="J632" i="1"/>
  <c r="D28" i="10"/>
  <c r="F664" i="1"/>
  <c r="I660" i="1"/>
  <c r="I664" i="1"/>
  <c r="I667" i="1"/>
  <c r="I672" i="1"/>
  <c r="C7" i="10" s="1"/>
  <c r="F667" i="1"/>
  <c r="F672" i="1"/>
  <c r="C4" i="10" s="1"/>
  <c r="H193" i="1" l="1"/>
  <c r="G629" i="1" s="1"/>
  <c r="J629" i="1" s="1"/>
  <c r="C39" i="10"/>
  <c r="J622" i="1"/>
  <c r="J617" i="1"/>
  <c r="H656" i="1"/>
  <c r="C41" i="10" l="1"/>
  <c r="D38" i="10" l="1"/>
  <c r="D40" i="10"/>
  <c r="D37" i="10"/>
  <c r="D36" i="10"/>
  <c r="D35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<sst xmlns="http://schemas.openxmlformats.org/spreadsheetml/2006/main" count="3958" uniqueCount="914">
  <si>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</si>
  <si>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</si>
  <si>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</si>
  <si>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</si>
  <si>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</si>
  <si>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</si>
  <si>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</si>
  <si>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</si>
  <si>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</si>
  <si>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</si>
  <si>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</si>
  <si>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</si>
  <si>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</si>
  <si>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</si>
  <si>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</si>
  <si>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</si>
  <si>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</si>
  <si>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</si>
  <si>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</si>
  <si>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</si>
  <si>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</si>
  <si>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</si>
  <si>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</si>
  <si>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</si>
  <si>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</si>
  <si>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</si>
  <si>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</si>
  <si>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</si>
  <si>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</si>
  <si>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</si>
  <si>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</si>
  <si>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</si>
  <si>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</si>
  <si>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</si>
  <si>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</si>
  <si>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</si>
  <si>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</si>
  <si>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</si>
  <si>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</si>
  <si>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</si>
  <si>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</si>
  <si>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</si>
  <si>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</si>
  <si>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</si>
  <si>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</si>
  <si>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</si>
  <si>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</si>
  <si>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</si>
  <si>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</si>
  <si>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</si>
  <si>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</si>
  <si>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</si>
  <si>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</si>
  <si>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</si>
  <si>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</si>
  <si>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</si>
  <si>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</si>
  <si>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</si>
  <si>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</si>
  <si>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</si>
  <si>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</si>
  <si>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</si>
  <si>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</si>
  <si>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</si>
  <si>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</si>
  <si>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</si>
  <si>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</si>
  <si>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</si>
  <si>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</si>
  <si>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</si>
  <si>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</si>
  <si>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</si>
  <si>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</si>
  <si>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</si>
  <si>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</si>
  <si>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</si>
  <si>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</si>
  <si>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</si>
  <si>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</si>
  <si>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</si>
  <si>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</si>
  <si>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</si>
  <si>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</si>
  <si>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</si>
  <si>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</si>
  <si>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</si>
  <si>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</si>
  <si>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</si>
  <si>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</si>
  <si>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</si>
  <si>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</si>
  <si>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</si>
  <si>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</si>
  <si>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</si>
  <si>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</si>
  <si>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</si>
  <si>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</si>
  <si>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</si>
  <si>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</si>
  <si>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</si>
  <si>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</si>
  <si>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</si>
  <si>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</si>
  <si>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</si>
  <si>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</si>
  <si>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</si>
  <si>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</si>
  <si>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</si>
  <si>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</si>
  <si>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</si>
  <si>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</si>
  <si>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</si>
  <si>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</si>
  <si>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</si>
  <si>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</si>
  <si>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</si>
  <si>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</si>
  <si>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</si>
  <si>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</si>
  <si>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</si>
  <si>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</si>
  <si>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</si>
  <si>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</si>
  <si>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</si>
  <si>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</si>
  <si>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</si>
  <si>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</si>
  <si>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</si>
  <si>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</si>
  <si>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</si>
  <si>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</si>
  <si>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</si>
  <si>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</si>
  <si>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</si>
  <si>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</si>
  <si>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</si>
  <si>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</si>
  <si>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</si>
  <si>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</si>
  <si>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</si>
  <si>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</si>
  <si>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</si>
  <si>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</si>
  <si>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</si>
  <si>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</si>
  <si>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</si>
  <si>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</si>
  <si>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</si>
  <si>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</si>
  <si>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</si>
  <si>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</si>
  <si>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</si>
  <si>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</si>
  <si>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</si>
  <si>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</si>
  <si>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</si>
  <si>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</si>
  <si>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</si>
  <si>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</si>
  <si>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</si>
  <si>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</si>
  <si>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</si>
  <si>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</si>
  <si>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</si>
  <si>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</si>
  <si>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</si>
  <si>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</si>
  <si>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</si>
  <si>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</si>
  <si>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</si>
  <si>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</si>
  <si>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</si>
  <si>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</si>
  <si>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</si>
  <si>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</si>
  <si>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</si>
  <si>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</si>
  <si>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</si>
  <si>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</si>
  <si>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</si>
  <si>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</si>
  <si>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</si>
  <si>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</si>
  <si>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</si>
  <si>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</si>
  <si>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</si>
  <si>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</si>
  <si>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</si>
  <si>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</si>
  <si>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</si>
  <si>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</si>
  <si>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</si>
  <si>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</si>
  <si>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</si>
  <si>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</si>
  <si>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</si>
  <si>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</si>
  <si>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</si>
  <si>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</si>
  <si>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</si>
  <si>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</si>
  <si>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</si>
  <si>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</si>
  <si>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</si>
  <si>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</si>
  <si>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</si>
  <si>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</si>
  <si>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</si>
  <si>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</si>
  <si>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</si>
  <si>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</si>
  <si>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</si>
  <si>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</si>
  <si>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</si>
  <si>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</si>
  <si>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</si>
  <si>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</si>
  <si>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</si>
  <si>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</si>
  <si>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</si>
  <si>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</si>
  <si>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</si>
  <si>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</si>
  <si>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</si>
  <si>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</si>
  <si>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</si>
  <si>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</si>
  <si>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</si>
  <si>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</si>
  <si>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</si>
  <si>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</si>
  <si>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</si>
  <si>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</si>
  <si>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</si>
  <si>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</si>
  <si>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</si>
  <si>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</si>
  <si>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</si>
  <si>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</si>
  <si>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</si>
  <si>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</si>
  <si>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</si>
  <si>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</si>
  <si>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</si>
  <si>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</si>
  <si>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</si>
  <si>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</si>
  <si>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</si>
  <si>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</si>
  <si>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</si>
  <si>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</si>
  <si>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</si>
  <si>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</si>
  <si>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</si>
  <si>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</si>
  <si>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</si>
  <si>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</si>
  <si>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</si>
  <si>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</si>
  <si>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</si>
  <si>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</si>
  <si>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</si>
  <si>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</si>
  <si>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</si>
  <si>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</si>
  <si>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</si>
  <si>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</si>
  <si>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</si>
  <si>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</si>
  <si>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</si>
  <si>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</si>
  <si>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</si>
  <si>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</si>
  <si>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</si>
  <si>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</si>
  <si>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</si>
  <si>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</si>
  <si>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</si>
  <si>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</si>
  <si>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</si>
  <si>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</si>
  <si>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</si>
  <si>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</si>
  <si>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</si>
  <si>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</si>
  <si>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</si>
  <si>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</si>
  <si>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</si>
  <si>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</si>
  <si>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</si>
  <si>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</si>
  <si>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</si>
  <si>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</si>
  <si>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</si>
  <si>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</si>
  <si>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</si>
  <si>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</si>
  <si>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</si>
  <si>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</si>
  <si>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</si>
  <si>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</si>
  <si>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</si>
  <si>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</si>
  <si>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</si>
  <si>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</si>
  <si>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</si>
  <si>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</si>
  <si>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</si>
  <si>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</si>
  <si>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</si>
  <si>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</si>
  <si>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</si>
  <si>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</si>
  <si>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</si>
  <si>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</si>
  <si>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</si>
  <si>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</si>
  <si>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</si>
  <si>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</si>
  <si>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</si>
  <si>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</si>
  <si>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</si>
  <si>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</si>
  <si>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</si>
  <si>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</si>
  <si>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</si>
  <si>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</si>
  <si>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</si>
  <si>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</si>
  <si>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</si>
  <si>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</si>
  <si>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</si>
  <si>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</si>
  <si>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</si>
  <si>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</si>
  <si>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</si>
  <si>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</si>
  <si>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</si>
  <si>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</si>
  <si>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</si>
  <si>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</si>
  <si>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</si>
  <si>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</si>
  <si>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</si>
  <si>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</si>
  <si>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</si>
  <si>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</si>
  <si>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</si>
  <si>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</si>
  <si>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</si>
  <si>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</si>
  <si>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</si>
  <si>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</si>
  <si>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</si>
  <si>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</si>
  <si>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</si>
  <si>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</si>
  <si>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</si>
  <si>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</si>
  <si>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</si>
  <si>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</si>
  <si>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</si>
  <si>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</si>
  <si>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</si>
  <si>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</si>
  <si>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</si>
  <si>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</si>
  <si>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</si>
  <si>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</si>
  <si>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</si>
  <si>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</si>
  <si>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</si>
  <si>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</si>
  <si>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</si>
  <si>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</si>
  <si>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</si>
  <si>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</si>
  <si>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</si>
  <si>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</si>
  <si>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</si>
  <si>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</si>
  <si>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</si>
  <si>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</si>
  <si>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</si>
  <si>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</si>
  <si>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</si>
  <si>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</si>
  <si>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</si>
  <si>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</si>
  <si>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</si>
  <si>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</si>
  <si>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</si>
  <si>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</si>
  <si>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</si>
  <si>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</si>
  <si>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</si>
  <si>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</si>
  <si>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</si>
  <si>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</si>
  <si>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</si>
  <si>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</si>
  <si>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</si>
  <si>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</si>
  <si>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</si>
  <si>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</si>
  <si>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</si>
  <si>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</si>
  <si>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</si>
  <si>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</si>
  <si>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</si>
  <si>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</si>
  <si>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</si>
  <si>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</si>
  <si>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</si>
  <si>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</si>
  <si>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</si>
  <si>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</si>
  <si>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</si>
  <si>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</si>
  <si>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</si>
  <si>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</si>
  <si>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</si>
  <si>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</si>
  <si>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</si>
  <si>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</si>
  <si>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</si>
  <si>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</si>
  <si>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</si>
  <si>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</si>
  <si>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</si>
  <si>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</si>
  <si>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</si>
  <si>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</si>
  <si>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</si>
  <si>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</si>
  <si>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</si>
  <si>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</si>
  <si>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</si>
  <si>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</si>
  <si>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</si>
  <si>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</si>
  <si>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</si>
  <si>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</si>
  <si>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</si>
  <si>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</si>
  <si>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</si>
  <si>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</si>
  <si>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</si>
  <si>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</si>
  <si>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</si>
  <si>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</si>
  <si>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</si>
  <si>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</si>
  <si>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</si>
  <si>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</si>
  <si>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</si>
  <si>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</si>
  <si>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</si>
  <si>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</si>
  <si>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</si>
  <si>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</si>
  <si>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</si>
  <si>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</si>
  <si>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</si>
  <si>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</si>
  <si>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</si>
  <si>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</si>
  <si>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</si>
  <si>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</si>
  <si>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</si>
  <si>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</si>
  <si>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</si>
  <si>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</si>
  <si>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</si>
  <si>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</si>
  <si>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</si>
  <si>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</si>
  <si>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</si>
  <si>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</si>
  <si>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</si>
  <si>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</si>
  <si>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</si>
  <si>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</si>
  <si>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</si>
  <si>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</si>
  <si>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</si>
  <si>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</si>
  <si>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</si>
  <si>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</si>
  <si>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</si>
  <si>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</si>
  <si>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</si>
  <si>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</si>
  <si>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</si>
  <si>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</si>
  <si>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</si>
  <si>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</si>
  <si>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</si>
  <si>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</si>
  <si>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</si>
  <si>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</si>
  <si>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</si>
  <si>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</si>
  <si>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</si>
  <si>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</si>
  <si>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</si>
  <si>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</si>
  <si>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</si>
  <si>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</si>
  <si>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</si>
  <si>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</si>
  <si>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</si>
  <si>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</si>
  <si>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</si>
  <si>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</si>
  <si>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</si>
  <si>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</si>
  <si>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</si>
  <si>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</si>
  <si>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</si>
  <si>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</si>
  <si>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</si>
  <si>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</si>
  <si>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</si>
  <si>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</si>
  <si>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</si>
  <si>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</si>
  <si>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</si>
  <si>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</si>
  <si>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</si>
  <si>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</si>
  <si>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</si>
  <si>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</si>
  <si>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</si>
  <si>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</si>
  <si>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</si>
  <si>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</si>
  <si>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</si>
  <si>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</si>
  <si>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</si>
  <si>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</si>
  <si>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</si>
  <si>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</si>
  <si>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</si>
  <si>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</si>
  <si>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</si>
  <si>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</si>
  <si>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</si>
  <si>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</si>
  <si>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</si>
  <si>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</si>
  <si>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</si>
  <si>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</si>
  <si>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</si>
  <si>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</si>
  <si>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</si>
  <si>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</si>
  <si>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</si>
  <si>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</si>
  <si>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</si>
  <si>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</si>
  <si>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</si>
  <si>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</si>
  <si>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</si>
  <si>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</si>
  <si>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</si>
  <si>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</si>
  <si>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</si>
  <si>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</si>
  <si>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</si>
  <si>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</si>
  <si>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</si>
  <si>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</si>
  <si>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</si>
  <si>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</si>
  <si>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</si>
  <si>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</si>
  <si>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</si>
  <si>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</si>
  <si>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</si>
  <si>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</si>
  <si>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</si>
  <si>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</si>
  <si>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</si>
  <si>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</si>
  <si>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</si>
  <si>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</si>
  <si>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</si>
  <si>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</si>
  <si>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</si>
  <si>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</si>
  <si>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</si>
  <si>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</si>
  <si>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</si>
  <si>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</si>
  <si>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</si>
  <si>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</si>
  <si>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</si>
  <si>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</si>
  <si>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</si>
  <si>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</si>
  <si>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</si>
  <si>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</si>
  <si>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</si>
  <si>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</si>
  <si>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</si>
  <si>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</si>
  <si>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</si>
  <si>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</si>
  <si>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</si>
  <si>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</si>
  <si>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</si>
  <si>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</si>
  <si>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</si>
  <si>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</si>
  <si>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</si>
  <si>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</si>
  <si>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</si>
  <si>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</si>
  <si>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</si>
  <si>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</si>
  <si>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</si>
  <si>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</si>
  <si>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</si>
  <si>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</si>
  <si>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</si>
  <si>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</si>
  <si>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</si>
  <si>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</si>
  <si>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</si>
  <si>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</si>
  <si>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</si>
  <si>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</si>
  <si>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</si>
  <si>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</si>
  <si>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</si>
  <si>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</si>
  <si>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</si>
  <si>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</si>
  <si>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</si>
  <si>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</si>
  <si>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</si>
  <si>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</si>
  <si>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</si>
  <si>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</si>
  <si>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</si>
  <si>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</si>
  <si>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</si>
  <si>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</si>
  <si>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</si>
  <si>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</si>
  <si>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</si>
  <si>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</si>
  <si>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</si>
  <si>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</si>
  <si>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</si>
  <si>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</si>
  <si>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</si>
  <si>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</si>
  <si>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</si>
  <si>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</si>
  <si>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</si>
  <si>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</si>
  <si>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</si>
  <si>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</si>
  <si>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</si>
  <si>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</si>
  <si>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</si>
  <si>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</si>
  <si>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</si>
  <si>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</si>
  <si>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</si>
  <si>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</si>
  <si>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</si>
  <si>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</si>
  <si>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</si>
  <si>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</si>
  <si>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</si>
  <si>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</si>
  <si>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</si>
  <si>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</si>
  <si>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</si>
  <si>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</si>
  <si>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</si>
  <si>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</si>
  <si>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</si>
  <si>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</si>
  <si>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</si>
  <si>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</si>
  <si>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</si>
  <si>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</si>
  <si>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</si>
  <si>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</si>
  <si>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</si>
  <si>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</si>
  <si>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</si>
  <si>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</si>
  <si>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</si>
  <si>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</si>
  <si>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</si>
  <si>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</si>
  <si>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</si>
  <si>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</si>
  <si>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</si>
  <si>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</si>
  <si>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</si>
  <si>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</si>
  <si>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</si>
  <si>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</si>
  <si>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</si>
  <si>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</si>
  <si>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</si>
  <si>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</si>
  <si>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</si>
  <si>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</si>
  <si>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</si>
  <si>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</si>
  <si>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</si>
  <si>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</si>
  <si>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</si>
  <si>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</si>
  <si>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</si>
  <si>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</si>
  <si>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</si>
  <si>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</si>
  <si>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</si>
  <si>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</si>
  <si>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</si>
  <si>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</si>
  <si>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</si>
  <si>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</si>
  <si>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</si>
  <si>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</si>
  <si>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</si>
  <si>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</si>
  <si>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</si>
  <si>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</si>
  <si>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</si>
  <si>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</si>
  <si>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</si>
  <si>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</si>
  <si>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</si>
  <si>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</si>
  <si>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</si>
  <si>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</si>
  <si>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</si>
  <si>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</si>
  <si>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</si>
  <si>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</si>
  <si>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</si>
  <si>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</si>
  <si>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</si>
  <si>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</si>
  <si>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</si>
  <si>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</si>
  <si>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</si>
  <si>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</si>
  <si>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</si>
  <si>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</si>
  <si>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</si>
  <si>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</si>
  <si>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</si>
  <si>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</si>
  <si>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</si>
  <si>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</si>
  <si>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</si>
  <si>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</si>
  <si>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</si>
  <si>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</si>
  <si>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</si>
  <si>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</si>
  <si>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</si>
  <si>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</si>
  <si>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</si>
  <si>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</si>
  <si>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</si>
  <si>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</si>
  <si>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</si>
  <si>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</si>
  <si>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</si>
  <si>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</si>
  <si>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</si>
  <si>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</si>
  <si>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</si>
  <si>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</si>
  <si>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</si>
  <si>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</si>
  <si>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</si>
  <si>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</si>
  <si>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</si>
  <si>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</si>
  <si>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</si>
  <si>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</si>
  <si>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</si>
  <si>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</si>
  <si>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</si>
  <si>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</si>
  <si>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</si>
  <si>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</si>
  <si>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</si>
  <si>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</si>
  <si>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</si>
  <si>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</si>
  <si>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</si>
  <si>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</si>
  <si>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</si>
  <si>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</si>
  <si>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</si>
  <si>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</si>
  <si>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</si>
  <si>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</si>
  <si>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</si>
  <si>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</si>
  <si>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</si>
  <si>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</si>
  <si>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</si>
  <si>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</si>
  <si>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</si>
  <si>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</si>
  <si>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</si>
  <si>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</si>
  <si>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</si>
  <si>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</si>
  <si>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</si>
  <si>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</si>
  <si>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</si>
  <si>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</si>
  <si>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</si>
  <si>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</si>
  <si>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</si>
  <si>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</si>
  <si>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</si>
  <si>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</si>
  <si>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</si>
  <si>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</si>
  <si>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</si>
  <si>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</si>
  <si>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</si>
  <si>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</si>
  <si>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</si>
  <si>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</si>
  <si>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</si>
  <si>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</si>
  <si>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</si>
  <si>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</si>
  <si>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</si>
  <si>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</si>
  <si>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</si>
  <si>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</si>
  <si>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</si>
  <si>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</si>
  <si>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</si>
  <si>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</si>
  <si>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</si>
  <si>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</si>
  <si>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</si>
  <si>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</si>
  <si>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</si>
  <si>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</si>
  <si>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</si>
  <si>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</si>
  <si>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</si>
  <si>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</si>
  <si>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</si>
  <si>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</si>
  <si>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</si>
  <si>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</si>
  <si>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</si>
  <si>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</si>
  <si>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</si>
  <si>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</si>
  <si>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</si>
  <si>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</si>
  <si>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</si>
  <si>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</si>
  <si>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</si>
  <si>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</si>
  <si>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</si>
  <si>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</si>
  <si>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</si>
  <si>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</si>
  <si>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</si>
  <si>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</si>
  <si>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</si>
  <si>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</si>
  <si>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</si>
  <si>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</si>
  <si>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</si>
  <si>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</si>
  <si>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</si>
  <si>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</si>
  <si>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</si>
  <si>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</si>
  <si>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</si>
  <si>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</si>
  <si>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</si>
  <si>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</si>
  <si>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</si>
  <si>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</si>
  <si>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</si>
  <si>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</si>
  <si>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</si>
  <si>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</si>
  <si>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</si>
  <si>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</si>
  <si>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</si>
  <si>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</si>
  <si>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</si>
  <si>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</si>
  <si>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</si>
  <si>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</si>
  <si>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</si>
  <si>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08/19</t>
  </si>
  <si>
    <t>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</si>
</sst>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137" activePane="bottomRight" state="frozen"/>
      <selection pane="topRight" activeCell="F1" sqref="F1"/>
      <selection pane="bottomLeft" activeCell="A4" sqref="A4"/>
      <selection pane="bottomRight" activeCell="H160" sqref="H16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913</v>
      </c>
      <c r="B2" s="21">
        <v>15</v>
      </c>
      <c r="C2" s="21">
        <v>15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908684.75</v>
      </c>
      <c r="G9" s="18">
        <v>112</v>
      </c>
      <c r="H9" s="18"/>
      <c r="I9" s="18">
        <v>39136.199999999997</v>
      </c>
      <c r="J9" s="67">
        <f>SUM(I439)</f>
        <v>845054.91000000015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>
        <v>69529.42</v>
      </c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118228.06</v>
      </c>
      <c r="G12" s="18">
        <f>70366.77</f>
        <v>70366.77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16370.91</v>
      </c>
      <c r="G13" s="18">
        <f>9090.92-2117.55</f>
        <v>6973.37</v>
      </c>
      <c r="H13" s="18">
        <f>56536.86+1543.52</f>
        <v>58080.38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35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1043318.7200000001</v>
      </c>
      <c r="G19" s="41">
        <f>SUM(G9:G18)</f>
        <v>146981.56</v>
      </c>
      <c r="H19" s="41">
        <f>SUM(H9:H18)</f>
        <v>58080.38</v>
      </c>
      <c r="I19" s="41">
        <f>SUM(I9:I18)</f>
        <v>39136.199999999997</v>
      </c>
      <c r="J19" s="41">
        <f>SUM(J9:J18)</f>
        <v>845054.91000000015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f>73936.57+70366.77</f>
        <v>144303.34000000003</v>
      </c>
      <c r="H23" s="18">
        <v>44291.49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176088.68</v>
      </c>
      <c r="G24" s="18">
        <v>1212.04</v>
      </c>
      <c r="H24" s="18">
        <v>6374.12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37224.45+199432.95+208522.84</f>
        <v>445180.24</v>
      </c>
      <c r="G28" s="18">
        <v>1466.18</v>
      </c>
      <c r="H28" s="18">
        <f>1861.48+5146.14</f>
        <v>7007.6200000000008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407.15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621268.91999999993</v>
      </c>
      <c r="G32" s="41">
        <f>SUM(G22:G31)</f>
        <v>146981.56000000003</v>
      </c>
      <c r="H32" s="41">
        <f>SUM(H22:H31)</f>
        <v>58080.380000000005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>
        <v>39136.199999999997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38500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845054.90999999992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383549.8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422049.8</v>
      </c>
      <c r="G51" s="41">
        <f>SUM(G35:G50)</f>
        <v>0</v>
      </c>
      <c r="H51" s="41">
        <f>SUM(H35:H50)</f>
        <v>0</v>
      </c>
      <c r="I51" s="41">
        <f>SUM(I35:I50)</f>
        <v>39136.199999999997</v>
      </c>
      <c r="J51" s="41">
        <f>SUM(J35:J50)</f>
        <v>845054.90999999992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1043318.72</v>
      </c>
      <c r="G52" s="41">
        <f>G51+G32</f>
        <v>146981.56000000003</v>
      </c>
      <c r="H52" s="41">
        <f>H51+H32</f>
        <v>58080.380000000005</v>
      </c>
      <c r="I52" s="41">
        <f>I51+I32</f>
        <v>39136.199999999997</v>
      </c>
      <c r="J52" s="41">
        <f>J51+J32</f>
        <v>845054.90999999992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10067645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10067645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24417.4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24417.4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>
        <v>47.16</v>
      </c>
      <c r="H96" s="18"/>
      <c r="I96" s="18">
        <v>913.54</v>
      </c>
      <c r="J96" s="18">
        <v>8559.33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71484.539999999994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534.15</v>
      </c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285.5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240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35</v>
      </c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309</v>
      </c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329247.78999999998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70+14416.78</f>
        <v>14486.78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345138.22000000003</v>
      </c>
      <c r="G111" s="41">
        <f>SUM(G96:G110)</f>
        <v>71531.7</v>
      </c>
      <c r="H111" s="41">
        <f>SUM(H96:H110)</f>
        <v>0</v>
      </c>
      <c r="I111" s="41">
        <f>SUM(I96:I110)</f>
        <v>913.54</v>
      </c>
      <c r="J111" s="41">
        <f>SUM(J96:J110)</f>
        <v>8559.33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10437200.620000001</v>
      </c>
      <c r="G112" s="41">
        <f>G60+G111</f>
        <v>71531.7</v>
      </c>
      <c r="H112" s="41">
        <f>H60+H79+H94+H111</f>
        <v>0</v>
      </c>
      <c r="I112" s="41">
        <f>I60+I111</f>
        <v>913.54</v>
      </c>
      <c r="J112" s="41">
        <f>J60+J111</f>
        <v>8559.33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3541107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3541107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25888.639999999999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2360.86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25888.639999999999</v>
      </c>
      <c r="G136" s="41">
        <f>SUM(G123:G135)</f>
        <v>2360.86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3566995.64</v>
      </c>
      <c r="G140" s="41">
        <f>G121+SUM(G136:G137)</f>
        <v>2360.86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>
        <v>2924.32</v>
      </c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>
        <v>311.22000000000003</v>
      </c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3235.54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8421.35+89489.43</f>
        <v>97910.78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13245.78+1289.9+11660+3926.18+12750.61+16047.15+1543.52</f>
        <v>60463.14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14958.4+47296.94+14024.13</f>
        <v>76279.47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39348.36+7795.09+108713.41</f>
        <v>155856.85999999999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130209.18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130209.18</v>
      </c>
      <c r="G162" s="41">
        <f>SUM(G150:G161)</f>
        <v>76279.47</v>
      </c>
      <c r="H162" s="41">
        <f>SUM(H150:H161)</f>
        <v>314230.77999999997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130209.18</v>
      </c>
      <c r="G169" s="41">
        <f>G147+G162+SUM(G163:G168)</f>
        <v>79515.009999999995</v>
      </c>
      <c r="H169" s="41">
        <f>H147+H162+SUM(H163:H168)</f>
        <v>314230.77999999997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72484.320000000007</v>
      </c>
      <c r="H179" s="18"/>
      <c r="I179" s="18"/>
      <c r="J179" s="18">
        <v>175000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72484.320000000007</v>
      </c>
      <c r="H183" s="41">
        <f>SUM(H179:H182)</f>
        <v>0</v>
      </c>
      <c r="I183" s="41">
        <f>SUM(I179:I182)</f>
        <v>0</v>
      </c>
      <c r="J183" s="41">
        <f>SUM(J179:J182)</f>
        <v>175000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72484.320000000007</v>
      </c>
      <c r="H192" s="41">
        <f>+H183+SUM(H188:H191)</f>
        <v>0</v>
      </c>
      <c r="I192" s="41">
        <f>I177+I183+SUM(I188:I191)</f>
        <v>0</v>
      </c>
      <c r="J192" s="41">
        <f>J183</f>
        <v>175000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14134405.440000001</v>
      </c>
      <c r="G193" s="47">
        <f>G112+G140+G169+G192</f>
        <v>225891.89</v>
      </c>
      <c r="H193" s="47">
        <f>H112+H140+H169+H192</f>
        <v>314230.77999999997</v>
      </c>
      <c r="I193" s="47">
        <f>I112+I140+I169+I192</f>
        <v>913.54</v>
      </c>
      <c r="J193" s="47">
        <f>J112+J140+J192</f>
        <v>183559.33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2241617.16</v>
      </c>
      <c r="G197" s="18">
        <v>1258641.72</v>
      </c>
      <c r="H197" s="18">
        <v>76859.899999999994</v>
      </c>
      <c r="I197" s="18">
        <v>126888.31</v>
      </c>
      <c r="J197" s="18">
        <v>173345.88</v>
      </c>
      <c r="K197" s="18">
        <v>75602.36</v>
      </c>
      <c r="L197" s="19">
        <f>SUM(F197:K197)</f>
        <v>3952955.3299999996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966276.88</v>
      </c>
      <c r="G198" s="18">
        <v>539380.18999999994</v>
      </c>
      <c r="H198" s="18">
        <v>165602.07</v>
      </c>
      <c r="I198" s="18">
        <v>37240.589999999997</v>
      </c>
      <c r="J198" s="18">
        <v>6750.94</v>
      </c>
      <c r="K198" s="18">
        <v>8723.42</v>
      </c>
      <c r="L198" s="19">
        <f>SUM(F198:K198)</f>
        <v>1723974.0899999999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30020.79</v>
      </c>
      <c r="G200" s="18">
        <v>5490.2</v>
      </c>
      <c r="H200" s="18">
        <v>18218.5</v>
      </c>
      <c r="I200" s="18">
        <v>14615.41</v>
      </c>
      <c r="J200" s="18">
        <v>24785</v>
      </c>
      <c r="K200" s="18">
        <v>2122</v>
      </c>
      <c r="L200" s="19">
        <f>SUM(F200:K200)</f>
        <v>95251.9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310863.78999999998</v>
      </c>
      <c r="G202" s="18">
        <v>203812.9</v>
      </c>
      <c r="H202" s="18">
        <v>6870.87</v>
      </c>
      <c r="I202" s="18">
        <v>2432.79</v>
      </c>
      <c r="J202" s="18">
        <v>3800.3</v>
      </c>
      <c r="K202" s="18">
        <v>1379</v>
      </c>
      <c r="L202" s="19">
        <f t="shared" ref="L202:L208" si="0">SUM(F202:K202)</f>
        <v>529159.64999999991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101101.43</v>
      </c>
      <c r="G203" s="18">
        <v>63715.05</v>
      </c>
      <c r="H203" s="18">
        <v>5112.08</v>
      </c>
      <c r="I203" s="18">
        <v>12186.17</v>
      </c>
      <c r="J203" s="18">
        <v>601.25</v>
      </c>
      <c r="K203" s="18">
        <v>5461.15</v>
      </c>
      <c r="L203" s="19">
        <f t="shared" si="0"/>
        <v>188177.12999999998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14485.95+177912.54</f>
        <v>192398.49000000002</v>
      </c>
      <c r="G204" s="18">
        <v>72737.2</v>
      </c>
      <c r="H204" s="18">
        <v>57785.24</v>
      </c>
      <c r="I204" s="18">
        <v>7687.25</v>
      </c>
      <c r="J204" s="18">
        <v>917.72</v>
      </c>
      <c r="K204" s="18">
        <v>5624.01</v>
      </c>
      <c r="L204" s="19">
        <f t="shared" si="0"/>
        <v>337149.91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239601.84</v>
      </c>
      <c r="G205" s="18">
        <v>133621.74</v>
      </c>
      <c r="H205" s="18">
        <v>11434.13</v>
      </c>
      <c r="I205" s="18">
        <v>5000.82</v>
      </c>
      <c r="J205" s="18">
        <v>1288.98</v>
      </c>
      <c r="K205" s="18">
        <v>1968</v>
      </c>
      <c r="L205" s="19">
        <f t="shared" si="0"/>
        <v>392915.50999999995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82928.61</v>
      </c>
      <c r="G206" s="18">
        <v>47641.279999999999</v>
      </c>
      <c r="H206" s="18">
        <v>2647.26</v>
      </c>
      <c r="I206" s="18">
        <v>48537.18</v>
      </c>
      <c r="J206" s="18">
        <v>491.17</v>
      </c>
      <c r="K206" s="18">
        <v>13899.68</v>
      </c>
      <c r="L206" s="19">
        <f t="shared" si="0"/>
        <v>196145.18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213510.63</v>
      </c>
      <c r="G207" s="18">
        <v>149814.35999999999</v>
      </c>
      <c r="H207" s="18">
        <v>464041.8</v>
      </c>
      <c r="I207" s="18">
        <v>197394.5</v>
      </c>
      <c r="J207" s="18">
        <v>19722.22</v>
      </c>
      <c r="K207" s="18">
        <v>1185.74</v>
      </c>
      <c r="L207" s="19">
        <f t="shared" si="0"/>
        <v>1045669.25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473299.81</v>
      </c>
      <c r="I208" s="18"/>
      <c r="J208" s="18"/>
      <c r="K208" s="18"/>
      <c r="L208" s="19">
        <f t="shared" si="0"/>
        <v>473299.81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4378319.62</v>
      </c>
      <c r="G211" s="41">
        <f t="shared" si="1"/>
        <v>2474854.6399999997</v>
      </c>
      <c r="H211" s="41">
        <f t="shared" si="1"/>
        <v>1281871.6600000001</v>
      </c>
      <c r="I211" s="41">
        <f t="shared" si="1"/>
        <v>451983.02</v>
      </c>
      <c r="J211" s="41">
        <f t="shared" si="1"/>
        <v>231703.46000000002</v>
      </c>
      <c r="K211" s="41">
        <f t="shared" si="1"/>
        <v>115965.36</v>
      </c>
      <c r="L211" s="41">
        <f t="shared" si="1"/>
        <v>8934697.7599999998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4176003.59</v>
      </c>
      <c r="I233" s="18"/>
      <c r="J233" s="18"/>
      <c r="K233" s="18"/>
      <c r="L233" s="19">
        <f>SUM(F233:K233)</f>
        <v>4176003.59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10496.92+164410.18+22499.85+299.76+2340.3+857.55</f>
        <v>200904.56</v>
      </c>
      <c r="I234" s="18">
        <v>705.69</v>
      </c>
      <c r="J234" s="18"/>
      <c r="K234" s="18"/>
      <c r="L234" s="19">
        <f>SUM(F234:K234)</f>
        <v>201610.25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142232.2+15684</f>
        <v>157916.20000000001</v>
      </c>
      <c r="I244" s="18"/>
      <c r="J244" s="18"/>
      <c r="K244" s="18"/>
      <c r="L244" s="19">
        <f t="shared" si="4"/>
        <v>157916.20000000001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4534824.3499999996</v>
      </c>
      <c r="I247" s="41">
        <f t="shared" si="5"/>
        <v>705.69</v>
      </c>
      <c r="J247" s="41">
        <f t="shared" si="5"/>
        <v>0</v>
      </c>
      <c r="K247" s="41">
        <f t="shared" si="5"/>
        <v>0</v>
      </c>
      <c r="L247" s="41">
        <f t="shared" si="5"/>
        <v>4535530.04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42777.37+17180.54</f>
        <v>59957.91</v>
      </c>
      <c r="I255" s="18"/>
      <c r="J255" s="18"/>
      <c r="K255" s="18"/>
      <c r="L255" s="19">
        <f t="shared" si="6"/>
        <v>59957.91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59957.91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59957.91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4378319.62</v>
      </c>
      <c r="G257" s="41">
        <f t="shared" si="8"/>
        <v>2474854.6399999997</v>
      </c>
      <c r="H257" s="41">
        <f t="shared" si="8"/>
        <v>5876653.9199999999</v>
      </c>
      <c r="I257" s="41">
        <f t="shared" si="8"/>
        <v>452688.71</v>
      </c>
      <c r="J257" s="41">
        <f t="shared" si="8"/>
        <v>231703.46000000002</v>
      </c>
      <c r="K257" s="41">
        <f t="shared" si="8"/>
        <v>115965.36</v>
      </c>
      <c r="L257" s="41">
        <f t="shared" si="8"/>
        <v>13530185.710000001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705000</v>
      </c>
      <c r="L260" s="19">
        <f>SUM(F260:K260)</f>
        <v>705000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89887.5</v>
      </c>
      <c r="L261" s="19">
        <f>SUM(F261:K261)</f>
        <v>89887.5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72484.320000000007</v>
      </c>
      <c r="L263" s="19">
        <f>SUM(F263:K263)</f>
        <v>72484.320000000007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175000</v>
      </c>
      <c r="L266" s="19">
        <f t="shared" si="9"/>
        <v>175000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1042371.8200000001</v>
      </c>
      <c r="L270" s="41">
        <f t="shared" si="9"/>
        <v>1042371.8200000001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4378319.62</v>
      </c>
      <c r="G271" s="42">
        <f t="shared" si="11"/>
        <v>2474854.6399999997</v>
      </c>
      <c r="H271" s="42">
        <f t="shared" si="11"/>
        <v>5876653.9199999999</v>
      </c>
      <c r="I271" s="42">
        <f t="shared" si="11"/>
        <v>452688.71</v>
      </c>
      <c r="J271" s="42">
        <f t="shared" si="11"/>
        <v>231703.46000000002</v>
      </c>
      <c r="K271" s="42">
        <f t="shared" si="11"/>
        <v>1158337.1800000002</v>
      </c>
      <c r="L271" s="42">
        <f t="shared" si="11"/>
        <v>14572557.530000001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850+84576.2+350+2415.16</f>
        <v>88191.360000000001</v>
      </c>
      <c r="G276" s="18">
        <f>800+57.36+130.18+175.93+258.38</f>
        <v>1421.85</v>
      </c>
      <c r="H276" s="18">
        <f>65+100+3000</f>
        <v>3165</v>
      </c>
      <c r="I276" s="18">
        <f>610.5+3137.72+1827.15+467.5+970.86+185.92+4727.31+2970+1287.45</f>
        <v>16184.41</v>
      </c>
      <c r="J276" s="18">
        <f>5000+1234+939.9+2500</f>
        <v>9673.9</v>
      </c>
      <c r="K276" s="18">
        <f>1063+425+4900</f>
        <v>6388</v>
      </c>
      <c r="L276" s="19">
        <f>SUM(F276:K276)</f>
        <v>125024.52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1628.64</v>
      </c>
      <c r="G277" s="18">
        <f>265.39</f>
        <v>265.39</v>
      </c>
      <c r="H277" s="18">
        <v>20897.8</v>
      </c>
      <c r="I277" s="18">
        <f>1136.64+358.39+2243.9+250+79.9</f>
        <v>4068.8300000000004</v>
      </c>
      <c r="J277" s="18">
        <f>413.57+861.84</f>
        <v>1275.4100000000001</v>
      </c>
      <c r="K277" s="18"/>
      <c r="L277" s="19">
        <f>SUM(F277:K277)</f>
        <v>28136.07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7327.5+104309.6+248.16</f>
        <v>111885.26000000001</v>
      </c>
      <c r="I281" s="18"/>
      <c r="J281" s="18"/>
      <c r="K281" s="18"/>
      <c r="L281" s="19">
        <f t="shared" ref="L281:L287" si="12">SUM(F281:K281)</f>
        <v>111885.26000000001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37.5+7381.8+3179.43+512.5+2000</f>
        <v>13111.23</v>
      </c>
      <c r="G282" s="18">
        <f>2.86+6.49+7676.8+572.17+1254.27+3000+234.4+297.29+395</f>
        <v>13439.28</v>
      </c>
      <c r="H282" s="18">
        <f>1200+800+5083.19+200+2575.63+100+440.07+1300+1289.61+3040+750+3030.55</f>
        <v>19809.05</v>
      </c>
      <c r="I282" s="18">
        <f>87.68+1358.01+361.03</f>
        <v>1806.72</v>
      </c>
      <c r="J282" s="18"/>
      <c r="K282" s="18"/>
      <c r="L282" s="19">
        <f t="shared" si="12"/>
        <v>48166.28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1018.65</v>
      </c>
      <c r="I283" s="18"/>
      <c r="J283" s="18"/>
      <c r="K283" s="18"/>
      <c r="L283" s="19">
        <f t="shared" si="12"/>
        <v>1018.65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102931.23</v>
      </c>
      <c r="G290" s="42">
        <f t="shared" si="13"/>
        <v>15126.52</v>
      </c>
      <c r="H290" s="42">
        <f t="shared" si="13"/>
        <v>156775.75999999998</v>
      </c>
      <c r="I290" s="42">
        <f t="shared" si="13"/>
        <v>22059.960000000003</v>
      </c>
      <c r="J290" s="42">
        <f t="shared" si="13"/>
        <v>10949.31</v>
      </c>
      <c r="K290" s="42">
        <f t="shared" si="13"/>
        <v>6388</v>
      </c>
      <c r="L290" s="41">
        <f t="shared" si="13"/>
        <v>314230.78000000003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102931.23</v>
      </c>
      <c r="G338" s="41">
        <f t="shared" si="20"/>
        <v>15126.52</v>
      </c>
      <c r="H338" s="41">
        <f t="shared" si="20"/>
        <v>156775.75999999998</v>
      </c>
      <c r="I338" s="41">
        <f t="shared" si="20"/>
        <v>22059.960000000003</v>
      </c>
      <c r="J338" s="41">
        <f t="shared" si="20"/>
        <v>10949.31</v>
      </c>
      <c r="K338" s="41">
        <f t="shared" si="20"/>
        <v>6388</v>
      </c>
      <c r="L338" s="41">
        <f t="shared" si="20"/>
        <v>314230.78000000003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102931.23</v>
      </c>
      <c r="G352" s="41">
        <f>G338</f>
        <v>15126.52</v>
      </c>
      <c r="H352" s="41">
        <f>H338</f>
        <v>156775.75999999998</v>
      </c>
      <c r="I352" s="41">
        <f>I338</f>
        <v>22059.960000000003</v>
      </c>
      <c r="J352" s="41">
        <f>J338</f>
        <v>10949.31</v>
      </c>
      <c r="K352" s="47">
        <f>K338+K351</f>
        <v>6388</v>
      </c>
      <c r="L352" s="41">
        <f>L338+L351</f>
        <v>314230.78000000003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43500+22121.05+33877.27</f>
        <v>99498.32</v>
      </c>
      <c r="G358" s="18">
        <f>9054.38+502.8+7611.75+7467.8+226.82+2698.7</f>
        <v>27562.25</v>
      </c>
      <c r="H358" s="18">
        <f>1965.99</f>
        <v>1965.99</v>
      </c>
      <c r="I358" s="18">
        <f>9672.39+76090.7+2924.32</f>
        <v>88687.41</v>
      </c>
      <c r="J358" s="18">
        <f>2372.17+1607.2</f>
        <v>3979.37</v>
      </c>
      <c r="K358" s="18">
        <f>2081+2117.55</f>
        <v>4198.55</v>
      </c>
      <c r="L358" s="13">
        <f>SUM(F358:K358)</f>
        <v>225891.89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99498.32</v>
      </c>
      <c r="G362" s="47">
        <f t="shared" si="22"/>
        <v>27562.25</v>
      </c>
      <c r="H362" s="47">
        <f t="shared" si="22"/>
        <v>1965.99</v>
      </c>
      <c r="I362" s="47">
        <f t="shared" si="22"/>
        <v>88687.41</v>
      </c>
      <c r="J362" s="47">
        <f t="shared" si="22"/>
        <v>3979.37</v>
      </c>
      <c r="K362" s="47">
        <f t="shared" si="22"/>
        <v>4198.55</v>
      </c>
      <c r="L362" s="47">
        <f t="shared" si="22"/>
        <v>225891.89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76090.7+2924.32</f>
        <v>79015.02</v>
      </c>
      <c r="G367" s="18"/>
      <c r="H367" s="18"/>
      <c r="I367" s="56">
        <f>SUM(F367:H367)</f>
        <v>79015.02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9672.39</v>
      </c>
      <c r="G368" s="63"/>
      <c r="H368" s="63"/>
      <c r="I368" s="56">
        <f>SUM(F368:H368)</f>
        <v>9672.39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88687.41</v>
      </c>
      <c r="G369" s="47">
        <f>SUM(G367:G368)</f>
        <v>0</v>
      </c>
      <c r="H369" s="47">
        <f>SUM(H367:H368)</f>
        <v>0</v>
      </c>
      <c r="I369" s="47">
        <f>SUM(I367:I368)</f>
        <v>88687.41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f>70000+65000</f>
        <v>135000</v>
      </c>
      <c r="H389" s="18">
        <f>21.69+1220.74+72.39+202.97+5.89-7.24-0.39+456.22+360.14</f>
        <v>2332.4100000000003</v>
      </c>
      <c r="I389" s="18"/>
      <c r="J389" s="24" t="s">
        <v>286</v>
      </c>
      <c r="K389" s="24" t="s">
        <v>286</v>
      </c>
      <c r="L389" s="56">
        <f t="shared" si="25"/>
        <v>137332.41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20000</v>
      </c>
      <c r="H391" s="18">
        <v>191.66</v>
      </c>
      <c r="I391" s="18"/>
      <c r="J391" s="24" t="s">
        <v>286</v>
      </c>
      <c r="K391" s="24" t="s">
        <v>286</v>
      </c>
      <c r="L391" s="56">
        <f t="shared" si="25"/>
        <v>20191.66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f>410.96+207.7</f>
        <v>618.66</v>
      </c>
      <c r="I392" s="18"/>
      <c r="J392" s="24" t="s">
        <v>286</v>
      </c>
      <c r="K392" s="24" t="s">
        <v>286</v>
      </c>
      <c r="L392" s="56">
        <f t="shared" si="25"/>
        <v>618.66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155000</v>
      </c>
      <c r="H393" s="139">
        <f>SUM(H387:H392)</f>
        <v>3142.73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158142.73000000001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f>1488.86+786.14</f>
        <v>2275</v>
      </c>
      <c r="I396" s="18"/>
      <c r="J396" s="24" t="s">
        <v>286</v>
      </c>
      <c r="K396" s="24" t="s">
        <v>286</v>
      </c>
      <c r="L396" s="56">
        <f t="shared" si="26"/>
        <v>2275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2693.85</v>
      </c>
      <c r="I397" s="18"/>
      <c r="J397" s="24" t="s">
        <v>286</v>
      </c>
      <c r="K397" s="24" t="s">
        <v>286</v>
      </c>
      <c r="L397" s="56">
        <f t="shared" si="26"/>
        <v>2693.85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>
        <v>20000</v>
      </c>
      <c r="H398" s="18">
        <v>447.75</v>
      </c>
      <c r="I398" s="18"/>
      <c r="J398" s="24" t="s">
        <v>286</v>
      </c>
      <c r="K398" s="24" t="s">
        <v>286</v>
      </c>
      <c r="L398" s="56">
        <f t="shared" si="26"/>
        <v>20447.75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5416.6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25416.6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175000</v>
      </c>
      <c r="H408" s="47">
        <f>H393+H401+H407</f>
        <v>8559.33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183559.33000000002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f>200000+165998.03+49413.83</f>
        <v>415411.86000000004</v>
      </c>
      <c r="I415" s="18"/>
      <c r="J415" s="18"/>
      <c r="K415" s="18"/>
      <c r="L415" s="56">
        <f t="shared" si="27"/>
        <v>415411.86000000004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>
        <v>36107.5</v>
      </c>
      <c r="I417" s="18"/>
      <c r="J417" s="18"/>
      <c r="K417" s="18"/>
      <c r="L417" s="56">
        <f t="shared" si="27"/>
        <v>36107.5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451519.36000000004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451519.36000000004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451519.36000000004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451519.36000000004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f>2384.02+139792.28+50818.6+45171.25+22143.19+158723.32+83807.93+19258.07</f>
        <v>522098.66000000003</v>
      </c>
      <c r="G439" s="18"/>
      <c r="H439" s="18">
        <f>296097.81+7956.14+15844.22+650.05-796.1-42.87+2886.84+360.14+0.02</f>
        <v>322956.25000000006</v>
      </c>
      <c r="I439" s="56">
        <f t="shared" ref="I439:I445" si="33">SUM(F439:H439)</f>
        <v>845054.91000000015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522098.66000000003</v>
      </c>
      <c r="G446" s="13">
        <f>SUM(G439:G445)</f>
        <v>0</v>
      </c>
      <c r="H446" s="13">
        <f>SUM(H439:H445)</f>
        <v>322956.25000000006</v>
      </c>
      <c r="I446" s="13">
        <f>SUM(I439:I445)</f>
        <v>845054.91000000015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522098.66</v>
      </c>
      <c r="G459" s="18"/>
      <c r="H459" s="18">
        <v>322956.25</v>
      </c>
      <c r="I459" s="56">
        <f t="shared" si="34"/>
        <v>845054.90999999992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522098.66</v>
      </c>
      <c r="G460" s="83">
        <f>SUM(G454:G459)</f>
        <v>0</v>
      </c>
      <c r="H460" s="83">
        <f>SUM(H454:H459)</f>
        <v>322956.25</v>
      </c>
      <c r="I460" s="83">
        <f>SUM(I454:I459)</f>
        <v>845054.90999999992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522098.66</v>
      </c>
      <c r="G461" s="42">
        <f>G452+G460</f>
        <v>0</v>
      </c>
      <c r="H461" s="42">
        <f>H452+H460</f>
        <v>322956.25</v>
      </c>
      <c r="I461" s="42">
        <f>I452+I460</f>
        <v>845054.90999999992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860201.89</v>
      </c>
      <c r="G465" s="18">
        <v>0</v>
      </c>
      <c r="H465" s="18">
        <v>0</v>
      </c>
      <c r="I465" s="18">
        <v>38222.660000000003</v>
      </c>
      <c r="J465" s="18">
        <v>1113014.94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14134405.439999999</v>
      </c>
      <c r="G468" s="18">
        <v>225891.89</v>
      </c>
      <c r="H468" s="18">
        <v>314230.78000000003</v>
      </c>
      <c r="I468" s="18">
        <v>913.54</v>
      </c>
      <c r="J468" s="18">
        <f>175000+8559.33</f>
        <v>183559.33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14134405.439999999</v>
      </c>
      <c r="G470" s="53">
        <f>SUM(G468:G469)</f>
        <v>225891.89</v>
      </c>
      <c r="H470" s="53">
        <f>SUM(H468:H469)</f>
        <v>314230.78000000003</v>
      </c>
      <c r="I470" s="53">
        <f>SUM(I468:I469)</f>
        <v>913.54</v>
      </c>
      <c r="J470" s="53">
        <f>SUM(J468:J469)</f>
        <v>183559.33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4535530.04+8934697.76+1102329.73</f>
        <v>14572557.530000001</v>
      </c>
      <c r="G472" s="18">
        <f>223774.34+2117.55</f>
        <v>225891.88999999998</v>
      </c>
      <c r="H472" s="18">
        <v>314230.78000000003</v>
      </c>
      <c r="I472" s="18"/>
      <c r="J472" s="18">
        <v>451519.36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14572557.530000001</v>
      </c>
      <c r="G474" s="53">
        <f>SUM(G472:G473)</f>
        <v>225891.88999999998</v>
      </c>
      <c r="H474" s="53">
        <f>SUM(H472:H473)</f>
        <v>314230.78000000003</v>
      </c>
      <c r="I474" s="53">
        <f>SUM(I472:I473)</f>
        <v>0</v>
      </c>
      <c r="J474" s="53">
        <f>SUM(J472:J473)</f>
        <v>451519.36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422049.79999999888</v>
      </c>
      <c r="G476" s="53">
        <f>(G465+G470)- G474</f>
        <v>0</v>
      </c>
      <c r="H476" s="53">
        <f>(H465+H470)- H474</f>
        <v>0</v>
      </c>
      <c r="I476" s="53">
        <f>(I465+I470)- I474</f>
        <v>39136.200000000004</v>
      </c>
      <c r="J476" s="53">
        <f>(J465+J470)- J474</f>
        <v>845054.91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912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3535000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2115000</v>
      </c>
      <c r="G495" s="18"/>
      <c r="H495" s="18"/>
      <c r="I495" s="18"/>
      <c r="J495" s="18"/>
      <c r="K495" s="53">
        <f>SUM(F495:J495)</f>
        <v>2115000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89887.5</v>
      </c>
      <c r="G496" s="18"/>
      <c r="H496" s="18"/>
      <c r="I496" s="18"/>
      <c r="J496" s="18"/>
      <c r="K496" s="53">
        <f t="shared" ref="K496:K503" si="35">SUM(F496:J496)</f>
        <v>89887.5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705000</v>
      </c>
      <c r="G497" s="18"/>
      <c r="H497" s="18"/>
      <c r="I497" s="18"/>
      <c r="J497" s="18"/>
      <c r="K497" s="53">
        <f t="shared" si="35"/>
        <v>705000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1410000</v>
      </c>
      <c r="G498" s="204"/>
      <c r="H498" s="204"/>
      <c r="I498" s="204"/>
      <c r="J498" s="204"/>
      <c r="K498" s="205">
        <f t="shared" si="35"/>
        <v>1410000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71910</v>
      </c>
      <c r="G499" s="18"/>
      <c r="H499" s="18"/>
      <c r="I499" s="18"/>
      <c r="J499" s="18"/>
      <c r="K499" s="53">
        <f t="shared" si="35"/>
        <v>71910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1481910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1481910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705000</v>
      </c>
      <c r="G501" s="204"/>
      <c r="H501" s="204"/>
      <c r="I501" s="204"/>
      <c r="J501" s="204"/>
      <c r="K501" s="205">
        <f t="shared" si="35"/>
        <v>705000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53932.5</v>
      </c>
      <c r="G502" s="18"/>
      <c r="H502" s="18"/>
      <c r="I502" s="18"/>
      <c r="J502" s="18"/>
      <c r="K502" s="53">
        <f t="shared" si="35"/>
        <v>53932.5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758932.5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758932.5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866400.15</v>
      </c>
      <c r="G521" s="18">
        <v>491008.25</v>
      </c>
      <c r="H521" s="18">
        <f>163502.07+20897.8</f>
        <v>184399.87</v>
      </c>
      <c r="I521" s="18">
        <f>28341.75+250+358.39+2243.9+79.9</f>
        <v>31273.940000000002</v>
      </c>
      <c r="J521" s="18">
        <f>2106.35+3000</f>
        <v>5106.3500000000004</v>
      </c>
      <c r="K521" s="18">
        <v>6357.92</v>
      </c>
      <c r="L521" s="88">
        <f>SUM(F521:K521)</f>
        <v>1584546.48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2340.3+22499.85+857.55+299.76+164410.18+10496.92</f>
        <v>200904.56</v>
      </c>
      <c r="I523" s="18">
        <v>705.69</v>
      </c>
      <c r="J523" s="18"/>
      <c r="K523" s="18"/>
      <c r="L523" s="88">
        <f>SUM(F523:K523)</f>
        <v>201610.25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866400.15</v>
      </c>
      <c r="G524" s="108">
        <f t="shared" ref="G524:L524" si="36">SUM(G521:G523)</f>
        <v>491008.25</v>
      </c>
      <c r="H524" s="108">
        <f t="shared" si="36"/>
        <v>385304.43</v>
      </c>
      <c r="I524" s="108">
        <f t="shared" si="36"/>
        <v>31979.63</v>
      </c>
      <c r="J524" s="108">
        <f t="shared" si="36"/>
        <v>5106.3500000000004</v>
      </c>
      <c r="K524" s="108">
        <f t="shared" si="36"/>
        <v>6357.92</v>
      </c>
      <c r="L524" s="89">
        <f t="shared" si="36"/>
        <v>1786156.73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65390.06+15122.53</f>
        <v>80512.59</v>
      </c>
      <c r="G526" s="18">
        <f>31483.08+1583.43+6120.34+13019.78+815.95+75.8+360.96+878.61+89.5+151.68</f>
        <v>54579.130000000005</v>
      </c>
      <c r="H526" s="18"/>
      <c r="I526" s="18">
        <v>141.26</v>
      </c>
      <c r="J526" s="18">
        <v>3445</v>
      </c>
      <c r="K526" s="18"/>
      <c r="L526" s="88">
        <f>SUM(F526:K526)</f>
        <v>138677.98000000001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80512.59</v>
      </c>
      <c r="G529" s="89">
        <f t="shared" ref="G529:L529" si="37">SUM(G526:G528)</f>
        <v>54579.130000000005</v>
      </c>
      <c r="H529" s="89">
        <f t="shared" si="37"/>
        <v>0</v>
      </c>
      <c r="I529" s="89">
        <f t="shared" si="37"/>
        <v>141.26</v>
      </c>
      <c r="J529" s="89">
        <f t="shared" si="37"/>
        <v>3445</v>
      </c>
      <c r="K529" s="89">
        <f t="shared" si="37"/>
        <v>0</v>
      </c>
      <c r="L529" s="89">
        <f t="shared" si="37"/>
        <v>138677.98000000001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86149.2+38361.44</f>
        <v>124510.64</v>
      </c>
      <c r="G531" s="18">
        <f>21545.7+7300.17+32115</f>
        <v>60960.87</v>
      </c>
      <c r="H531" s="18"/>
      <c r="I531" s="18"/>
      <c r="J531" s="18"/>
      <c r="K531" s="18"/>
      <c r="L531" s="88">
        <f>SUM(F531:K531)</f>
        <v>185471.51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124510.64</v>
      </c>
      <c r="G534" s="89">
        <f t="shared" ref="G534:L534" si="38">SUM(G531:G533)</f>
        <v>60960.87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185471.51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163924.35</v>
      </c>
      <c r="I541" s="18"/>
      <c r="J541" s="18"/>
      <c r="K541" s="18"/>
      <c r="L541" s="88">
        <f>SUM(F541:K541)</f>
        <v>163924.35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15684</v>
      </c>
      <c r="I543" s="18"/>
      <c r="J543" s="18"/>
      <c r="K543" s="18"/>
      <c r="L543" s="88">
        <f>SUM(F543:K543)</f>
        <v>15684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179608.35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179608.35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1071423.3799999999</v>
      </c>
      <c r="G545" s="89">
        <f t="shared" ref="G545:L545" si="41">G524+G529+G534+G539+G544</f>
        <v>606548.25</v>
      </c>
      <c r="H545" s="89">
        <f t="shared" si="41"/>
        <v>564912.78</v>
      </c>
      <c r="I545" s="89">
        <f t="shared" si="41"/>
        <v>32120.89</v>
      </c>
      <c r="J545" s="89">
        <f t="shared" si="41"/>
        <v>8551.35</v>
      </c>
      <c r="K545" s="89">
        <f t="shared" si="41"/>
        <v>6357.92</v>
      </c>
      <c r="L545" s="89">
        <f t="shared" si="41"/>
        <v>2289914.5699999998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1584546.48</v>
      </c>
      <c r="G549" s="87">
        <f>L526</f>
        <v>138677.98000000001</v>
      </c>
      <c r="H549" s="87">
        <f>L531</f>
        <v>185471.51</v>
      </c>
      <c r="I549" s="87">
        <f>L536</f>
        <v>0</v>
      </c>
      <c r="J549" s="87">
        <f>L541</f>
        <v>163924.35</v>
      </c>
      <c r="K549" s="87">
        <f>SUM(F549:J549)</f>
        <v>2072620.32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201610.25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15684</v>
      </c>
      <c r="K551" s="87">
        <f>SUM(F551:J551)</f>
        <v>217294.25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1786156.73</v>
      </c>
      <c r="G552" s="89">
        <f t="shared" si="42"/>
        <v>138677.98000000001</v>
      </c>
      <c r="H552" s="89">
        <f t="shared" si="42"/>
        <v>185471.51</v>
      </c>
      <c r="I552" s="89">
        <f t="shared" si="42"/>
        <v>0</v>
      </c>
      <c r="J552" s="89">
        <f t="shared" si="42"/>
        <v>179608.35</v>
      </c>
      <c r="K552" s="89">
        <f t="shared" si="42"/>
        <v>2289914.5700000003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f>93618.76+8152</f>
        <v>101770.76</v>
      </c>
      <c r="G567" s="18">
        <f>22123.24+195.9+7812.25+17546.61+226.82+467.12</f>
        <v>48371.94</v>
      </c>
      <c r="H567" s="18">
        <v>2100</v>
      </c>
      <c r="I567" s="18">
        <f>8766.68+132.16+1136.64</f>
        <v>10035.48</v>
      </c>
      <c r="J567" s="18">
        <f>784.98+859.61+413.57+861.84</f>
        <v>2920.0000000000005</v>
      </c>
      <c r="K567" s="18">
        <f>2365.5</f>
        <v>2365.5</v>
      </c>
      <c r="L567" s="88">
        <f>SUM(F567:K567)</f>
        <v>167563.68000000002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101770.76</v>
      </c>
      <c r="G570" s="193">
        <f t="shared" ref="G570:L570" si="45">SUM(G567:G569)</f>
        <v>48371.94</v>
      </c>
      <c r="H570" s="193">
        <f t="shared" si="45"/>
        <v>2100</v>
      </c>
      <c r="I570" s="193">
        <f t="shared" si="45"/>
        <v>10035.48</v>
      </c>
      <c r="J570" s="193">
        <f t="shared" si="45"/>
        <v>2920.0000000000005</v>
      </c>
      <c r="K570" s="193">
        <f t="shared" si="45"/>
        <v>2365.5</v>
      </c>
      <c r="L570" s="193">
        <f t="shared" si="45"/>
        <v>167563.68000000002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101770.76</v>
      </c>
      <c r="G571" s="89">
        <f t="shared" ref="G571:L571" si="46">G560+G565+G570</f>
        <v>48371.94</v>
      </c>
      <c r="H571" s="89">
        <f t="shared" si="46"/>
        <v>2100</v>
      </c>
      <c r="I571" s="89">
        <f t="shared" si="46"/>
        <v>10035.48</v>
      </c>
      <c r="J571" s="89">
        <f t="shared" si="46"/>
        <v>2920.0000000000005</v>
      </c>
      <c r="K571" s="89">
        <f t="shared" si="46"/>
        <v>2365.5</v>
      </c>
      <c r="L571" s="89">
        <f t="shared" si="46"/>
        <v>167563.68000000002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4176003.59</v>
      </c>
      <c r="I577" s="87">
        <f t="shared" si="47"/>
        <v>4176003.59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107179.09+15795.85</f>
        <v>122974.94</v>
      </c>
      <c r="G582" s="18"/>
      <c r="H582" s="18">
        <f>22499.85+857.55</f>
        <v>23357.399999999998</v>
      </c>
      <c r="I582" s="87">
        <f t="shared" si="47"/>
        <v>146332.34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286620.32</v>
      </c>
      <c r="I591" s="18"/>
      <c r="J591" s="18">
        <v>142232.20000000001</v>
      </c>
      <c r="K591" s="104">
        <f t="shared" ref="K591:K597" si="48">SUM(H591:J591)</f>
        <v>428852.52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163924.35</v>
      </c>
      <c r="I592" s="18"/>
      <c r="J592" s="18">
        <v>15684</v>
      </c>
      <c r="K592" s="104">
        <f t="shared" si="48"/>
        <v>179608.35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13686.52</v>
      </c>
      <c r="I594" s="18"/>
      <c r="J594" s="18"/>
      <c r="K594" s="104">
        <f t="shared" si="48"/>
        <v>13686.52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9068.6200000000008</v>
      </c>
      <c r="I595" s="18"/>
      <c r="J595" s="18"/>
      <c r="K595" s="104">
        <f t="shared" si="48"/>
        <v>9068.6200000000008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473299.81000000006</v>
      </c>
      <c r="I598" s="108">
        <f>SUM(I591:I597)</f>
        <v>0</v>
      </c>
      <c r="J598" s="108">
        <f>SUM(J591:J597)</f>
        <v>157916.20000000001</v>
      </c>
      <c r="K598" s="108">
        <f>SUM(K591:K597)</f>
        <v>631216.01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242652.77</v>
      </c>
      <c r="I604" s="18"/>
      <c r="J604" s="18"/>
      <c r="K604" s="104">
        <f>SUM(H604:J604)</f>
        <v>242652.77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242652.77</v>
      </c>
      <c r="I605" s="108">
        <f>SUM(I602:I604)</f>
        <v>0</v>
      </c>
      <c r="J605" s="108">
        <f>SUM(J602:J604)</f>
        <v>0</v>
      </c>
      <c r="K605" s="108">
        <f>SUM(K602:K604)</f>
        <v>242652.77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>
        <v>110.38</v>
      </c>
      <c r="J611" s="18"/>
      <c r="K611" s="18"/>
      <c r="L611" s="88">
        <f>SUM(F611:K611)</f>
        <v>110.38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110.38</v>
      </c>
      <c r="J614" s="108">
        <f t="shared" si="49"/>
        <v>0</v>
      </c>
      <c r="K614" s="108">
        <f t="shared" si="49"/>
        <v>0</v>
      </c>
      <c r="L614" s="89">
        <f t="shared" si="49"/>
        <v>110.38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1043318.7200000001</v>
      </c>
      <c r="H617" s="109">
        <f>SUM(F52)</f>
        <v>1043318.72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146981.56</v>
      </c>
      <c r="H618" s="109">
        <f>SUM(G52)</f>
        <v>146981.56000000003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58080.38</v>
      </c>
      <c r="H619" s="109">
        <f>SUM(H52)</f>
        <v>58080.380000000005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39136.199999999997</v>
      </c>
      <c r="H620" s="109">
        <f>SUM(I52)</f>
        <v>39136.199999999997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845054.91000000015</v>
      </c>
      <c r="H621" s="109">
        <f>SUM(J52)</f>
        <v>845054.90999999992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422049.8</v>
      </c>
      <c r="H622" s="109">
        <f>F476</f>
        <v>422049.79999999888</v>
      </c>
      <c r="I622" s="121" t="s">
        <v>101</v>
      </c>
      <c r="J622" s="109">
        <f t="shared" ref="J622:J655" si="50">G622-H622</f>
        <v>1.1059455573558807E-9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39136.199999999997</v>
      </c>
      <c r="H625" s="109">
        <f>I476</f>
        <v>39136.200000000004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845054.90999999992</v>
      </c>
      <c r="H626" s="109">
        <f>J476</f>
        <v>845054.91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14134405.440000001</v>
      </c>
      <c r="H627" s="104">
        <f>SUM(F468)</f>
        <v>14134405.439999999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225891.89</v>
      </c>
      <c r="H628" s="104">
        <f>SUM(G468)</f>
        <v>225891.89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314230.77999999997</v>
      </c>
      <c r="H629" s="104">
        <f>SUM(H468)</f>
        <v>314230.78000000003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913.54</v>
      </c>
      <c r="H630" s="104">
        <f>SUM(I468)</f>
        <v>913.54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183559.33</v>
      </c>
      <c r="H631" s="104">
        <f>SUM(J468)</f>
        <v>183559.33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14572557.530000001</v>
      </c>
      <c r="H632" s="104">
        <f>SUM(F472)</f>
        <v>14572557.530000001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314230.78000000003</v>
      </c>
      <c r="H633" s="104">
        <f>SUM(H472)</f>
        <v>314230.78000000003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88687.41</v>
      </c>
      <c r="H634" s="104">
        <f>I369</f>
        <v>88687.41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225891.89</v>
      </c>
      <c r="H635" s="104">
        <f>SUM(G472)</f>
        <v>225891.88999999998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183559.33000000002</v>
      </c>
      <c r="H637" s="164">
        <f>SUM(J468)</f>
        <v>183559.33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451519.36000000004</v>
      </c>
      <c r="H638" s="164">
        <f>SUM(J472)</f>
        <v>451519.36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522098.66000000003</v>
      </c>
      <c r="H639" s="104">
        <f>SUM(F461)</f>
        <v>522098.66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322956.25000000006</v>
      </c>
      <c r="H641" s="104">
        <f>SUM(H461)</f>
        <v>322956.25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845054.91000000015</v>
      </c>
      <c r="H642" s="104">
        <f>SUM(I461)</f>
        <v>845054.90999999992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8559.33</v>
      </c>
      <c r="H644" s="104">
        <f>H408</f>
        <v>8559.33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175000</v>
      </c>
      <c r="H645" s="104">
        <f>G408</f>
        <v>175000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183559.33</v>
      </c>
      <c r="H646" s="104">
        <f>L408</f>
        <v>183559.33000000002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631216.01</v>
      </c>
      <c r="H647" s="104">
        <f>L208+L226+L244</f>
        <v>631216.01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242652.77</v>
      </c>
      <c r="H648" s="104">
        <f>(J257+J338)-(J255+J336)</f>
        <v>242652.77000000002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473299.81</v>
      </c>
      <c r="H649" s="104">
        <f>H598</f>
        <v>473299.81000000006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157916.20000000001</v>
      </c>
      <c r="H651" s="104">
        <f>J598</f>
        <v>157916.20000000001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72484.320000000007</v>
      </c>
      <c r="H652" s="104">
        <f>K263+K345</f>
        <v>72484.320000000007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175000</v>
      </c>
      <c r="H655" s="104">
        <f>K266+K347</f>
        <v>175000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9474820.4299999997</v>
      </c>
      <c r="G660" s="19">
        <f>(L229+L309+L359)</f>
        <v>0</v>
      </c>
      <c r="H660" s="19">
        <f>(L247+L328+L360)</f>
        <v>4535530.04</v>
      </c>
      <c r="I660" s="19">
        <f>SUM(F660:H660)</f>
        <v>14010350.469999999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71484.539999999994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71484.539999999994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473299.81</v>
      </c>
      <c r="G662" s="19">
        <f>(L226+L306)-(J226+J306)</f>
        <v>0</v>
      </c>
      <c r="H662" s="19">
        <f>(L244+L325)-(J244+J325)</f>
        <v>157916.20000000001</v>
      </c>
      <c r="I662" s="19">
        <f>SUM(F662:H662)</f>
        <v>631216.01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365738.08999999997</v>
      </c>
      <c r="G663" s="199">
        <f>SUM(G575:G587)+SUM(I602:I604)+L612</f>
        <v>0</v>
      </c>
      <c r="H663" s="199">
        <f>SUM(H575:H587)+SUM(J602:J604)+L613</f>
        <v>4199360.99</v>
      </c>
      <c r="I663" s="19">
        <f>SUM(F663:H663)</f>
        <v>4565099.08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8564297.9900000002</v>
      </c>
      <c r="G664" s="19">
        <f>G660-SUM(G661:G663)</f>
        <v>0</v>
      </c>
      <c r="H664" s="19">
        <f>H660-SUM(H661:H663)</f>
        <v>178252.84999999963</v>
      </c>
      <c r="I664" s="19">
        <f>I660-SUM(I661:I663)</f>
        <v>8742550.8399999999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426.93</v>
      </c>
      <c r="G665" s="248"/>
      <c r="H665" s="248"/>
      <c r="I665" s="19">
        <f>SUM(F665:H665)</f>
        <v>426.93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20060.189999999999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20477.71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-178252.85</v>
      </c>
      <c r="I669" s="19">
        <f>SUM(F669:H669)</f>
        <v>-178252.85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20060.189999999999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20060.189999999999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zoomScaleNormal="100" workbookViewId="0">
      <selection activeCell="C41" sqref="C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Alton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2329808.52</v>
      </c>
      <c r="C9" s="229">
        <f>'DOE25'!G197+'DOE25'!G215+'DOE25'!G233+'DOE25'!G276+'DOE25'!G295+'DOE25'!G314</f>
        <v>1260063.57</v>
      </c>
    </row>
    <row r="10" spans="1:3" x14ac:dyDescent="0.2">
      <c r="A10" t="s">
        <v>773</v>
      </c>
      <c r="B10" s="240">
        <v>1968764.9</v>
      </c>
      <c r="C10" s="240">
        <f>823335.77+800</f>
        <v>824135.77</v>
      </c>
    </row>
    <row r="11" spans="1:3" x14ac:dyDescent="0.2">
      <c r="A11" t="s">
        <v>774</v>
      </c>
      <c r="B11" s="240">
        <v>283849.56</v>
      </c>
      <c r="C11" s="240">
        <v>412461.1</v>
      </c>
    </row>
    <row r="12" spans="1:3" x14ac:dyDescent="0.2">
      <c r="A12" t="s">
        <v>775</v>
      </c>
      <c r="B12" s="240">
        <v>77194.06</v>
      </c>
      <c r="C12" s="240">
        <v>23466.7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2329808.52</v>
      </c>
      <c r="C13" s="231">
        <f>SUM(C10:C12)</f>
        <v>1260063.57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967905.52</v>
      </c>
      <c r="C18" s="229">
        <f>'DOE25'!G198+'DOE25'!G216+'DOE25'!G234+'DOE25'!G277+'DOE25'!G296+'DOE25'!G315</f>
        <v>539645.57999999996</v>
      </c>
    </row>
    <row r="19" spans="1:3" x14ac:dyDescent="0.2">
      <c r="A19" t="s">
        <v>773</v>
      </c>
      <c r="B19" s="240">
        <v>603624.53</v>
      </c>
      <c r="C19" s="240">
        <v>481197.11</v>
      </c>
    </row>
    <row r="20" spans="1:3" x14ac:dyDescent="0.2">
      <c r="A20" t="s">
        <v>774</v>
      </c>
      <c r="B20" s="240">
        <v>339847.53</v>
      </c>
      <c r="C20" s="240">
        <v>55592.4</v>
      </c>
    </row>
    <row r="21" spans="1:3" x14ac:dyDescent="0.2">
      <c r="A21" t="s">
        <v>775</v>
      </c>
      <c r="B21" s="240">
        <v>24433.46</v>
      </c>
      <c r="C21" s="240">
        <v>2856.07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967905.52</v>
      </c>
      <c r="C22" s="231">
        <f>SUM(C19:C21)</f>
        <v>539645.57999999996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30020.79</v>
      </c>
      <c r="C36" s="235">
        <f>'DOE25'!G200+'DOE25'!G218+'DOE25'!G236+'DOE25'!G279+'DOE25'!G298+'DOE25'!G317</f>
        <v>5490.2</v>
      </c>
    </row>
    <row r="37" spans="1:3" x14ac:dyDescent="0.2">
      <c r="A37" t="s">
        <v>773</v>
      </c>
      <c r="B37" s="240">
        <v>4500</v>
      </c>
      <c r="C37" s="240">
        <f>344.07+780.77+18.4+96.96</f>
        <v>1240.2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25520.79</v>
      </c>
      <c r="C39" s="240">
        <f>1952.16+2281.56+16.28</f>
        <v>4250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30020.79</v>
      </c>
      <c r="C40" s="231">
        <f>SUM(C37:C39)</f>
        <v>5490.2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Alton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10149795.16</v>
      </c>
      <c r="D5" s="20">
        <f>SUM('DOE25'!L197:L200)+SUM('DOE25'!L215:L218)+SUM('DOE25'!L233:L236)-F5-G5</f>
        <v>9858465.5600000005</v>
      </c>
      <c r="E5" s="243"/>
      <c r="F5" s="255">
        <f>SUM('DOE25'!J197:J200)+SUM('DOE25'!J215:J218)+SUM('DOE25'!J233:J236)</f>
        <v>204881.82</v>
      </c>
      <c r="G5" s="53">
        <f>SUM('DOE25'!K197:K200)+SUM('DOE25'!K215:K218)+SUM('DOE25'!K233:K236)</f>
        <v>86447.78</v>
      </c>
      <c r="H5" s="259"/>
    </row>
    <row r="6" spans="1:9" x14ac:dyDescent="0.2">
      <c r="A6" s="32">
        <v>2100</v>
      </c>
      <c r="B6" t="s">
        <v>795</v>
      </c>
      <c r="C6" s="245">
        <f t="shared" si="0"/>
        <v>529159.64999999991</v>
      </c>
      <c r="D6" s="20">
        <f>'DOE25'!L202+'DOE25'!L220+'DOE25'!L238-F6-G6</f>
        <v>523980.34999999986</v>
      </c>
      <c r="E6" s="243"/>
      <c r="F6" s="255">
        <f>'DOE25'!J202+'DOE25'!J220+'DOE25'!J238</f>
        <v>3800.3</v>
      </c>
      <c r="G6" s="53">
        <f>'DOE25'!K202+'DOE25'!K220+'DOE25'!K238</f>
        <v>1379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188177.12999999998</v>
      </c>
      <c r="D7" s="20">
        <f>'DOE25'!L203+'DOE25'!L221+'DOE25'!L239-F7-G7</f>
        <v>182114.72999999998</v>
      </c>
      <c r="E7" s="243"/>
      <c r="F7" s="255">
        <f>'DOE25'!J203+'DOE25'!J221+'DOE25'!J239</f>
        <v>601.25</v>
      </c>
      <c r="G7" s="53">
        <f>'DOE25'!K203+'DOE25'!K221+'DOE25'!K239</f>
        <v>5461.15</v>
      </c>
      <c r="H7" s="259"/>
    </row>
    <row r="8" spans="1:9" x14ac:dyDescent="0.2">
      <c r="A8" s="32">
        <v>2300</v>
      </c>
      <c r="B8" t="s">
        <v>796</v>
      </c>
      <c r="C8" s="245">
        <f t="shared" si="0"/>
        <v>33778.720000000023</v>
      </c>
      <c r="D8" s="243"/>
      <c r="E8" s="20">
        <f>'DOE25'!L204+'DOE25'!L222+'DOE25'!L240-F8-G8-D9-D11</f>
        <v>27236.99000000002</v>
      </c>
      <c r="F8" s="255">
        <f>'DOE25'!J204+'DOE25'!J222+'DOE25'!J240</f>
        <v>917.72</v>
      </c>
      <c r="G8" s="53">
        <f>'DOE25'!K204+'DOE25'!K222+'DOE25'!K240</f>
        <v>5624.01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46989.41</v>
      </c>
      <c r="D9" s="244">
        <v>46989.41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10492</v>
      </c>
      <c r="D10" s="243"/>
      <c r="E10" s="244">
        <v>10492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256381.78</v>
      </c>
      <c r="D11" s="244">
        <v>256381.78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392915.50999999995</v>
      </c>
      <c r="D12" s="20">
        <f>'DOE25'!L205+'DOE25'!L223+'DOE25'!L241-F12-G12</f>
        <v>389658.52999999997</v>
      </c>
      <c r="E12" s="243"/>
      <c r="F12" s="255">
        <f>'DOE25'!J205+'DOE25'!J223+'DOE25'!J241</f>
        <v>1288.98</v>
      </c>
      <c r="G12" s="53">
        <f>'DOE25'!K205+'DOE25'!K223+'DOE25'!K241</f>
        <v>1968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196145.18</v>
      </c>
      <c r="D13" s="243"/>
      <c r="E13" s="20">
        <f>'DOE25'!L206+'DOE25'!L224+'DOE25'!L242-F13-G13</f>
        <v>181754.33</v>
      </c>
      <c r="F13" s="255">
        <f>'DOE25'!J206+'DOE25'!J224+'DOE25'!J242</f>
        <v>491.17</v>
      </c>
      <c r="G13" s="53">
        <f>'DOE25'!K206+'DOE25'!K224+'DOE25'!K242</f>
        <v>13899.68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1045669.25</v>
      </c>
      <c r="D14" s="20">
        <f>'DOE25'!L207+'DOE25'!L225+'DOE25'!L243-F14-G14</f>
        <v>1024761.29</v>
      </c>
      <c r="E14" s="243"/>
      <c r="F14" s="255">
        <f>'DOE25'!J207+'DOE25'!J225+'DOE25'!J243</f>
        <v>19722.22</v>
      </c>
      <c r="G14" s="53">
        <f>'DOE25'!K207+'DOE25'!K225+'DOE25'!K243</f>
        <v>1185.74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631216.01</v>
      </c>
      <c r="D15" s="20">
        <f>'DOE25'!L208+'DOE25'!L226+'DOE25'!L244-F15-G15</f>
        <v>631216.01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59957.91</v>
      </c>
      <c r="D22" s="243"/>
      <c r="E22" s="243"/>
      <c r="F22" s="255">
        <f>'DOE25'!L255+'DOE25'!L336</f>
        <v>59957.91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794887.5</v>
      </c>
      <c r="D25" s="243"/>
      <c r="E25" s="243"/>
      <c r="F25" s="258"/>
      <c r="G25" s="256"/>
      <c r="H25" s="257">
        <f>'DOE25'!L260+'DOE25'!L261+'DOE25'!L341+'DOE25'!L342</f>
        <v>794887.5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146876.87</v>
      </c>
      <c r="D29" s="20">
        <f>'DOE25'!L358+'DOE25'!L359+'DOE25'!L360-'DOE25'!I367-F29-G29</f>
        <v>138698.95000000001</v>
      </c>
      <c r="E29" s="243"/>
      <c r="F29" s="255">
        <f>'DOE25'!J358+'DOE25'!J359+'DOE25'!J360</f>
        <v>3979.37</v>
      </c>
      <c r="G29" s="53">
        <f>'DOE25'!K358+'DOE25'!K359+'DOE25'!K360</f>
        <v>4198.55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314230.78000000003</v>
      </c>
      <c r="D31" s="20">
        <f>'DOE25'!L290+'DOE25'!L309+'DOE25'!L328+'DOE25'!L333+'DOE25'!L334+'DOE25'!L335-F31-G31</f>
        <v>296893.47000000003</v>
      </c>
      <c r="E31" s="243"/>
      <c r="F31" s="255">
        <f>'DOE25'!J290+'DOE25'!J309+'DOE25'!J328+'DOE25'!J333+'DOE25'!J334+'DOE25'!J335</f>
        <v>10949.31</v>
      </c>
      <c r="G31" s="53">
        <f>'DOE25'!K290+'DOE25'!K309+'DOE25'!K328+'DOE25'!K333+'DOE25'!K334+'DOE25'!K335</f>
        <v>6388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13349160.079999998</v>
      </c>
      <c r="E33" s="246">
        <f>SUM(E5:E31)</f>
        <v>219483.32</v>
      </c>
      <c r="F33" s="246">
        <f>SUM(F5:F31)</f>
        <v>306590.05</v>
      </c>
      <c r="G33" s="246">
        <f>SUM(G5:G31)</f>
        <v>126551.91</v>
      </c>
      <c r="H33" s="246">
        <f>SUM(H5:H31)</f>
        <v>794887.5</v>
      </c>
    </row>
    <row r="35" spans="2:8" ht="12" thickBot="1" x14ac:dyDescent="0.25">
      <c r="B35" s="253" t="s">
        <v>841</v>
      </c>
      <c r="D35" s="254">
        <f>E33</f>
        <v>219483.32</v>
      </c>
      <c r="E35" s="249"/>
    </row>
    <row r="36" spans="2:8" ht="12" thickTop="1" x14ac:dyDescent="0.2">
      <c r="B36" t="s">
        <v>809</v>
      </c>
      <c r="D36" s="20">
        <f>D33</f>
        <v>13349160.079999998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908684.75</v>
      </c>
      <c r="D8" s="95">
        <f>'DOE25'!G9</f>
        <v>112</v>
      </c>
      <c r="E8" s="95">
        <f>'DOE25'!H9</f>
        <v>0</v>
      </c>
      <c r="F8" s="95">
        <f>'DOE25'!I9</f>
        <v>39136.199999999997</v>
      </c>
      <c r="G8" s="95">
        <f>'DOE25'!J9</f>
        <v>845054.91000000015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69529.42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118228.06</v>
      </c>
      <c r="D11" s="95">
        <f>'DOE25'!G12</f>
        <v>70366.77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16370.91</v>
      </c>
      <c r="D12" s="95">
        <f>'DOE25'!G13</f>
        <v>6973.37</v>
      </c>
      <c r="E12" s="95">
        <f>'DOE25'!H13</f>
        <v>58080.38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1043318.7200000001</v>
      </c>
      <c r="D18" s="41">
        <f>SUM(D8:D17)</f>
        <v>146981.56</v>
      </c>
      <c r="E18" s="41">
        <f>SUM(E8:E17)</f>
        <v>58080.38</v>
      </c>
      <c r="F18" s="41">
        <f>SUM(F8:F17)</f>
        <v>39136.199999999997</v>
      </c>
      <c r="G18" s="41">
        <f>SUM(G8:G17)</f>
        <v>845054.91000000015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144303.34000000003</v>
      </c>
      <c r="E22" s="95">
        <f>'DOE25'!H23</f>
        <v>44291.49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176088.68</v>
      </c>
      <c r="D23" s="95">
        <f>'DOE25'!G24</f>
        <v>1212.04</v>
      </c>
      <c r="E23" s="95">
        <f>'DOE25'!H24</f>
        <v>6374.12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445180.24</v>
      </c>
      <c r="D27" s="95">
        <f>'DOE25'!G28</f>
        <v>1466.18</v>
      </c>
      <c r="E27" s="95">
        <f>'DOE25'!H28</f>
        <v>7007.6200000000008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407.15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621268.91999999993</v>
      </c>
      <c r="D31" s="41">
        <f>SUM(D21:D30)</f>
        <v>146981.56000000003</v>
      </c>
      <c r="E31" s="41">
        <f>SUM(E21:E30)</f>
        <v>58080.380000000005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39136.199999999997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38500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845054.90999999992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383549.8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422049.8</v>
      </c>
      <c r="D50" s="41">
        <f>SUM(D34:D49)</f>
        <v>0</v>
      </c>
      <c r="E50" s="41">
        <f>SUM(E34:E49)</f>
        <v>0</v>
      </c>
      <c r="F50" s="41">
        <f>SUM(F34:F49)</f>
        <v>39136.199999999997</v>
      </c>
      <c r="G50" s="41">
        <f>SUM(G34:G49)</f>
        <v>845054.90999999992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1043318.72</v>
      </c>
      <c r="D51" s="41">
        <f>D50+D31</f>
        <v>146981.56000000003</v>
      </c>
      <c r="E51" s="41">
        <f>E50+E31</f>
        <v>58080.380000000005</v>
      </c>
      <c r="F51" s="41">
        <f>F50+F31</f>
        <v>39136.199999999997</v>
      </c>
      <c r="G51" s="41">
        <f>G50+G31</f>
        <v>845054.90999999992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10067645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24417.4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47.16</v>
      </c>
      <c r="E59" s="95">
        <f>'DOE25'!H96</f>
        <v>0</v>
      </c>
      <c r="F59" s="95">
        <f>'DOE25'!I96</f>
        <v>913.54</v>
      </c>
      <c r="G59" s="95">
        <f>'DOE25'!J96</f>
        <v>8559.33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71484.539999999994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345138.22000000003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369555.62000000005</v>
      </c>
      <c r="D62" s="130">
        <f>SUM(D57:D61)</f>
        <v>71531.7</v>
      </c>
      <c r="E62" s="130">
        <f>SUM(E57:E61)</f>
        <v>0</v>
      </c>
      <c r="F62" s="130">
        <f>SUM(F57:F61)</f>
        <v>913.54</v>
      </c>
      <c r="G62" s="130">
        <f>SUM(G57:G61)</f>
        <v>8559.33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10437200.619999999</v>
      </c>
      <c r="D63" s="22">
        <f>D56+D62</f>
        <v>71531.7</v>
      </c>
      <c r="E63" s="22">
        <f>E56+E62</f>
        <v>0</v>
      </c>
      <c r="F63" s="22">
        <f>F56+F62</f>
        <v>913.54</v>
      </c>
      <c r="G63" s="22">
        <f>G56+G62</f>
        <v>8559.33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3541107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3541107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25888.639999999999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2360.86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25888.639999999999</v>
      </c>
      <c r="D78" s="130">
        <f>SUM(D72:D77)</f>
        <v>2360.86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3566995.64</v>
      </c>
      <c r="D81" s="130">
        <f>SUM(D79:D80)+D78+D70</f>
        <v>2360.86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3235.54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130209.18</v>
      </c>
      <c r="D88" s="95">
        <f>SUM('DOE25'!G153:G161)</f>
        <v>76279.47</v>
      </c>
      <c r="E88" s="95">
        <f>SUM('DOE25'!H153:H161)</f>
        <v>314230.77999999997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130209.18</v>
      </c>
      <c r="D91" s="131">
        <f>SUM(D85:D90)</f>
        <v>79515.009999999995</v>
      </c>
      <c r="E91" s="131">
        <f>SUM(E85:E90)</f>
        <v>314230.77999999997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72484.320000000007</v>
      </c>
      <c r="E96" s="95">
        <f>'DOE25'!H179</f>
        <v>0</v>
      </c>
      <c r="F96" s="95">
        <f>'DOE25'!I179</f>
        <v>0</v>
      </c>
      <c r="G96" s="95">
        <f>'DOE25'!J179</f>
        <v>175000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72484.320000000007</v>
      </c>
      <c r="E103" s="86">
        <f>SUM(E93:E102)</f>
        <v>0</v>
      </c>
      <c r="F103" s="86">
        <f>SUM(F93:F102)</f>
        <v>0</v>
      </c>
      <c r="G103" s="86">
        <f>SUM(G93:G102)</f>
        <v>175000</v>
      </c>
    </row>
    <row r="104" spans="1:7" ht="12.75" thickTop="1" thickBot="1" x14ac:dyDescent="0.25">
      <c r="A104" s="33" t="s">
        <v>759</v>
      </c>
      <c r="C104" s="86">
        <f>C63+C81+C91+C103</f>
        <v>14134405.439999999</v>
      </c>
      <c r="D104" s="86">
        <f>D63+D81+D91+D103</f>
        <v>225891.89</v>
      </c>
      <c r="E104" s="86">
        <f>E63+E81+E91+E103</f>
        <v>314230.77999999997</v>
      </c>
      <c r="F104" s="86">
        <f>F63+F81+F91+F103</f>
        <v>913.54</v>
      </c>
      <c r="G104" s="86">
        <f>G63+G81+G103</f>
        <v>183559.33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8128958.9199999999</v>
      </c>
      <c r="D109" s="24" t="s">
        <v>286</v>
      </c>
      <c r="E109" s="95">
        <f>('DOE25'!L276)+('DOE25'!L295)+('DOE25'!L314)</f>
        <v>125024.52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1925584.3399999999</v>
      </c>
      <c r="D110" s="24" t="s">
        <v>286</v>
      </c>
      <c r="E110" s="95">
        <f>('DOE25'!L277)+('DOE25'!L296)+('DOE25'!L315)</f>
        <v>28136.07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95251.9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10149795.16</v>
      </c>
      <c r="D115" s="86">
        <f>SUM(D109:D114)</f>
        <v>0</v>
      </c>
      <c r="E115" s="86">
        <f>SUM(E109:E114)</f>
        <v>153160.59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529159.64999999991</v>
      </c>
      <c r="D118" s="24" t="s">
        <v>286</v>
      </c>
      <c r="E118" s="95">
        <f>+('DOE25'!L281)+('DOE25'!L300)+('DOE25'!L319)</f>
        <v>111885.26000000001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188177.12999999998</v>
      </c>
      <c r="D119" s="24" t="s">
        <v>286</v>
      </c>
      <c r="E119" s="95">
        <f>+('DOE25'!L282)+('DOE25'!L301)+('DOE25'!L320)</f>
        <v>48166.28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337149.91</v>
      </c>
      <c r="D120" s="24" t="s">
        <v>286</v>
      </c>
      <c r="E120" s="95">
        <f>+('DOE25'!L283)+('DOE25'!L302)+('DOE25'!L321)</f>
        <v>1018.65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392915.50999999995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196145.18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1045669.25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631216.01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225891.89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3320432.6399999997</v>
      </c>
      <c r="D128" s="86">
        <f>SUM(D118:D127)</f>
        <v>225891.89</v>
      </c>
      <c r="E128" s="86">
        <f>SUM(E118:E127)</f>
        <v>161070.19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59957.91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705000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89887.5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72484.320000000007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158142.73000000001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25416.6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-8559.3300000000163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1102329.73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14572557.530000001</v>
      </c>
      <c r="D145" s="86">
        <f>(D115+D128+D144)</f>
        <v>225891.89</v>
      </c>
      <c r="E145" s="86">
        <f>(E115+E128+E144)</f>
        <v>314230.78000000003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3535000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2115000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2115000</v>
      </c>
    </row>
    <row r="157" spans="1:9" x14ac:dyDescent="0.2">
      <c r="A157" s="22" t="s">
        <v>33</v>
      </c>
      <c r="B157" s="137">
        <f>'DOE25'!F496</f>
        <v>89887.5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89887.5</v>
      </c>
    </row>
    <row r="158" spans="1:9" x14ac:dyDescent="0.2">
      <c r="A158" s="22" t="s">
        <v>34</v>
      </c>
      <c r="B158" s="137">
        <f>'DOE25'!F497</f>
        <v>705000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705000</v>
      </c>
    </row>
    <row r="159" spans="1:9" x14ac:dyDescent="0.2">
      <c r="A159" s="22" t="s">
        <v>35</v>
      </c>
      <c r="B159" s="137">
        <f>'DOE25'!F498</f>
        <v>1410000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1410000</v>
      </c>
    </row>
    <row r="160" spans="1:9" x14ac:dyDescent="0.2">
      <c r="A160" s="22" t="s">
        <v>36</v>
      </c>
      <c r="B160" s="137">
        <f>'DOE25'!F499</f>
        <v>71910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71910</v>
      </c>
    </row>
    <row r="161" spans="1:7" x14ac:dyDescent="0.2">
      <c r="A161" s="22" t="s">
        <v>37</v>
      </c>
      <c r="B161" s="137">
        <f>'DOE25'!F500</f>
        <v>1481910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1481910</v>
      </c>
    </row>
    <row r="162" spans="1:7" x14ac:dyDescent="0.2">
      <c r="A162" s="22" t="s">
        <v>38</v>
      </c>
      <c r="B162" s="137">
        <f>'DOE25'!F501</f>
        <v>705000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705000</v>
      </c>
    </row>
    <row r="163" spans="1:7" x14ac:dyDescent="0.2">
      <c r="A163" s="22" t="s">
        <v>39</v>
      </c>
      <c r="B163" s="137">
        <f>'DOE25'!F502</f>
        <v>53932.5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53932.5</v>
      </c>
    </row>
    <row r="164" spans="1:7" x14ac:dyDescent="0.2">
      <c r="A164" s="22" t="s">
        <v>246</v>
      </c>
      <c r="B164" s="137">
        <f>'DOE25'!F503</f>
        <v>758932.5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758932.5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Alton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20060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20060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8253983</v>
      </c>
      <c r="D10" s="182">
        <f>ROUND((C10/$C$28)*100,1)</f>
        <v>58.8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1953720</v>
      </c>
      <c r="D11" s="182">
        <f>ROUND((C11/$C$28)*100,1)</f>
        <v>13.9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95252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641045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236343</v>
      </c>
      <c r="D16" s="182">
        <f t="shared" si="0"/>
        <v>1.7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338169</v>
      </c>
      <c r="D17" s="182">
        <f t="shared" si="0"/>
        <v>2.4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392916</v>
      </c>
      <c r="D18" s="182">
        <f t="shared" si="0"/>
        <v>2.8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196145</v>
      </c>
      <c r="D19" s="182">
        <f t="shared" si="0"/>
        <v>1.4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1045669</v>
      </c>
      <c r="D20" s="182">
        <f t="shared" si="0"/>
        <v>7.5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631216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89888</v>
      </c>
      <c r="D25" s="182">
        <f t="shared" si="0"/>
        <v>0.6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154407.46000000002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14028753.460000001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59958</v>
      </c>
    </row>
    <row r="30" spans="1:4" x14ac:dyDescent="0.2">
      <c r="B30" s="187" t="s">
        <v>723</v>
      </c>
      <c r="C30" s="180">
        <f>SUM(C28:C29)</f>
        <v>14088711.460000001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705000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10067645</v>
      </c>
      <c r="D35" s="182">
        <f t="shared" ref="D35:D40" si="1">ROUND((C35/$C$41)*100,1)</f>
        <v>69.2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379075.65000000037</v>
      </c>
      <c r="D36" s="182">
        <f t="shared" si="1"/>
        <v>2.6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3541107</v>
      </c>
      <c r="D37" s="182">
        <f t="shared" si="1"/>
        <v>24.4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28250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523955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14540032.65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Alton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2018-10-03T15:07:19Z</cp:lastPrinted>
  <dcterms:created xsi:type="dcterms:W3CDTF">1997-12-04T19:04:30Z</dcterms:created>
  <dcterms:modified xsi:type="dcterms:W3CDTF">2018-11-30T18:04:08Z</dcterms:modified>
</cp:coreProperties>
</file>