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19200" windowHeight="66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96" i="1" l="1"/>
  <c r="F22" i="1"/>
  <c r="G22" i="1"/>
  <c r="H198" i="1" l="1"/>
  <c r="H197" i="1"/>
  <c r="H233" i="1"/>
  <c r="H208" i="1" l="1"/>
  <c r="H244" i="1"/>
  <c r="H604" i="1"/>
  <c r="H380" i="1"/>
  <c r="H378" i="1"/>
  <c r="H521" i="1"/>
  <c r="H526" i="1"/>
  <c r="I521" i="1"/>
  <c r="G521" i="1"/>
  <c r="F521" i="1"/>
  <c r="H204" i="1"/>
  <c r="H22" i="1" l="1"/>
  <c r="F29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C119" i="2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L288" i="1"/>
  <c r="L295" i="1"/>
  <c r="L296" i="1"/>
  <c r="L297" i="1"/>
  <c r="E111" i="2" s="1"/>
  <c r="L298" i="1"/>
  <c r="E112" i="2" s="1"/>
  <c r="L300" i="1"/>
  <c r="L301" i="1"/>
  <c r="L302" i="1"/>
  <c r="L303" i="1"/>
  <c r="L304" i="1"/>
  <c r="L305" i="1"/>
  <c r="L306" i="1"/>
  <c r="E124" i="2" s="1"/>
  <c r="L307" i="1"/>
  <c r="E125" i="2" s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E114" i="2" s="1"/>
  <c r="L334" i="1"/>
  <c r="L335" i="1"/>
  <c r="L260" i="1"/>
  <c r="C131" i="2" s="1"/>
  <c r="L261" i="1"/>
  <c r="C132" i="2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F94" i="1"/>
  <c r="F111" i="1"/>
  <c r="G111" i="1"/>
  <c r="H79" i="1"/>
  <c r="E57" i="2" s="1"/>
  <c r="H94" i="1"/>
  <c r="H111" i="1"/>
  <c r="I111" i="1"/>
  <c r="I112" i="1" s="1"/>
  <c r="J111" i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20" i="10"/>
  <c r="L250" i="1"/>
  <c r="L332" i="1"/>
  <c r="L254" i="1"/>
  <c r="L268" i="1"/>
  <c r="C142" i="2" s="1"/>
  <c r="L269" i="1"/>
  <c r="L349" i="1"/>
  <c r="E142" i="2" s="1"/>
  <c r="L350" i="1"/>
  <c r="I665" i="1"/>
  <c r="I670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2" i="2"/>
  <c r="C113" i="2"/>
  <c r="E113" i="2"/>
  <c r="C114" i="2"/>
  <c r="D115" i="2"/>
  <c r="F115" i="2"/>
  <c r="G115" i="2"/>
  <c r="C118" i="2"/>
  <c r="C122" i="2"/>
  <c r="E123" i="2"/>
  <c r="C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F571" i="1" s="1"/>
  <c r="G565" i="1"/>
  <c r="H565" i="1"/>
  <c r="I565" i="1"/>
  <c r="I571" i="1" s="1"/>
  <c r="J565" i="1"/>
  <c r="K565" i="1"/>
  <c r="L567" i="1"/>
  <c r="L568" i="1"/>
  <c r="L569" i="1"/>
  <c r="L570" i="1" s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2" i="1"/>
  <c r="G623" i="1"/>
  <c r="G634" i="1"/>
  <c r="G639" i="1"/>
  <c r="H639" i="1"/>
  <c r="J639" i="1" s="1"/>
  <c r="G641" i="1"/>
  <c r="G643" i="1"/>
  <c r="G644" i="1"/>
  <c r="G650" i="1"/>
  <c r="G651" i="1"/>
  <c r="G652" i="1"/>
  <c r="H652" i="1"/>
  <c r="G653" i="1"/>
  <c r="H653" i="1"/>
  <c r="G654" i="1"/>
  <c r="H654" i="1"/>
  <c r="H655" i="1"/>
  <c r="J655" i="1" s="1"/>
  <c r="L328" i="1"/>
  <c r="D7" i="13"/>
  <c r="C7" i="13" s="1"/>
  <c r="C91" i="2"/>
  <c r="D19" i="13"/>
  <c r="C19" i="13" s="1"/>
  <c r="E13" i="13"/>
  <c r="C13" i="13" s="1"/>
  <c r="E78" i="2"/>
  <c r="F112" i="1"/>
  <c r="K571" i="1"/>
  <c r="I169" i="1"/>
  <c r="J140" i="1"/>
  <c r="H552" i="1"/>
  <c r="L560" i="1"/>
  <c r="H192" i="1"/>
  <c r="G36" i="2"/>
  <c r="L565" i="1"/>
  <c r="G161" i="2" l="1"/>
  <c r="G156" i="2"/>
  <c r="D31" i="2"/>
  <c r="H169" i="1"/>
  <c r="D15" i="13"/>
  <c r="C15" i="13" s="1"/>
  <c r="G461" i="1"/>
  <c r="H640" i="1" s="1"/>
  <c r="L433" i="1"/>
  <c r="I408" i="1"/>
  <c r="G164" i="2"/>
  <c r="F78" i="2"/>
  <c r="F81" i="2" s="1"/>
  <c r="F18" i="2"/>
  <c r="H112" i="1"/>
  <c r="A31" i="12"/>
  <c r="E120" i="2"/>
  <c r="F661" i="1"/>
  <c r="D18" i="13"/>
  <c r="C18" i="13" s="1"/>
  <c r="C18" i="10"/>
  <c r="C109" i="2"/>
  <c r="C17" i="10"/>
  <c r="L427" i="1"/>
  <c r="G157" i="2"/>
  <c r="E119" i="2"/>
  <c r="H461" i="1"/>
  <c r="H641" i="1" s="1"/>
  <c r="J641" i="1" s="1"/>
  <c r="F338" i="1"/>
  <c r="F352" i="1" s="1"/>
  <c r="J257" i="1"/>
  <c r="J271" i="1" s="1"/>
  <c r="C70" i="2"/>
  <c r="F169" i="1"/>
  <c r="E62" i="2"/>
  <c r="E63" i="2" s="1"/>
  <c r="L393" i="1"/>
  <c r="C138" i="2" s="1"/>
  <c r="L309" i="1"/>
  <c r="E118" i="2"/>
  <c r="E128" i="2" s="1"/>
  <c r="D14" i="13"/>
  <c r="C14" i="13" s="1"/>
  <c r="L229" i="1"/>
  <c r="F408" i="1"/>
  <c r="H643" i="1" s="1"/>
  <c r="I257" i="1"/>
  <c r="I271" i="1" s="1"/>
  <c r="J643" i="1"/>
  <c r="H338" i="1"/>
  <c r="H352" i="1" s="1"/>
  <c r="H571" i="1"/>
  <c r="H408" i="1"/>
  <c r="H644" i="1" s="1"/>
  <c r="J644" i="1" s="1"/>
  <c r="G338" i="1"/>
  <c r="G352" i="1" s="1"/>
  <c r="C32" i="10"/>
  <c r="C13" i="10"/>
  <c r="D50" i="2"/>
  <c r="C110" i="2"/>
  <c r="G649" i="1"/>
  <c r="J649" i="1" s="1"/>
  <c r="L247" i="1"/>
  <c r="H660" i="1" s="1"/>
  <c r="K605" i="1"/>
  <c r="G648" i="1" s="1"/>
  <c r="J651" i="1"/>
  <c r="K598" i="1"/>
  <c r="G647" i="1" s="1"/>
  <c r="I369" i="1"/>
  <c r="H634" i="1" s="1"/>
  <c r="J634" i="1" s="1"/>
  <c r="L401" i="1"/>
  <c r="C139" i="2" s="1"/>
  <c r="L524" i="1"/>
  <c r="K551" i="1"/>
  <c r="L544" i="1"/>
  <c r="J552" i="1"/>
  <c r="I552" i="1"/>
  <c r="K545" i="1"/>
  <c r="J545" i="1"/>
  <c r="I545" i="1"/>
  <c r="C25" i="10"/>
  <c r="H25" i="13"/>
  <c r="L270" i="1"/>
  <c r="L256" i="1"/>
  <c r="C124" i="2"/>
  <c r="F662" i="1"/>
  <c r="I662" i="1" s="1"/>
  <c r="H647" i="1"/>
  <c r="C21" i="10"/>
  <c r="C121" i="2"/>
  <c r="H257" i="1"/>
  <c r="H271" i="1" s="1"/>
  <c r="A40" i="12"/>
  <c r="C11" i="10"/>
  <c r="F257" i="1"/>
  <c r="F271" i="1" s="1"/>
  <c r="D5" i="13"/>
  <c r="C5" i="13" s="1"/>
  <c r="G545" i="1"/>
  <c r="K549" i="1"/>
  <c r="H545" i="1"/>
  <c r="C19" i="10"/>
  <c r="E122" i="2"/>
  <c r="C16" i="10"/>
  <c r="C10" i="10"/>
  <c r="A13" i="12"/>
  <c r="G661" i="1"/>
  <c r="D127" i="2"/>
  <c r="D128" i="2" s="1"/>
  <c r="D91" i="2"/>
  <c r="D62" i="2"/>
  <c r="D63" i="2" s="1"/>
  <c r="E31" i="2"/>
  <c r="H52" i="1"/>
  <c r="H619" i="1" s="1"/>
  <c r="J619" i="1" s="1"/>
  <c r="D18" i="2"/>
  <c r="J617" i="1"/>
  <c r="C18" i="2"/>
  <c r="J640" i="1"/>
  <c r="F22" i="13"/>
  <c r="C22" i="13" s="1"/>
  <c r="C26" i="10"/>
  <c r="E81" i="2"/>
  <c r="G257" i="1"/>
  <c r="G271" i="1" s="1"/>
  <c r="I460" i="1"/>
  <c r="I446" i="1"/>
  <c r="G642" i="1" s="1"/>
  <c r="C123" i="2"/>
  <c r="L211" i="1"/>
  <c r="J112" i="1"/>
  <c r="L362" i="1"/>
  <c r="G472" i="1" s="1"/>
  <c r="I452" i="1"/>
  <c r="D29" i="13"/>
  <c r="C29" i="13" s="1"/>
  <c r="E8" i="13"/>
  <c r="C8" i="13" s="1"/>
  <c r="D12" i="13"/>
  <c r="C12" i="13" s="1"/>
  <c r="K338" i="1"/>
  <c r="K352" i="1" s="1"/>
  <c r="C35" i="10"/>
  <c r="C36" i="10" s="1"/>
  <c r="K550" i="1"/>
  <c r="L290" i="1"/>
  <c r="L338" i="1" s="1"/>
  <c r="G645" i="1"/>
  <c r="J645" i="1" s="1"/>
  <c r="L539" i="1"/>
  <c r="K503" i="1"/>
  <c r="L382" i="1"/>
  <c r="E109" i="2"/>
  <c r="E115" i="2" s="1"/>
  <c r="G81" i="2"/>
  <c r="C62" i="2"/>
  <c r="C63" i="2" s="1"/>
  <c r="C15" i="10"/>
  <c r="C29" i="10"/>
  <c r="L351" i="1"/>
  <c r="G625" i="1"/>
  <c r="H661" i="1"/>
  <c r="C12" i="10"/>
  <c r="G112" i="1"/>
  <c r="K500" i="1"/>
  <c r="C78" i="2"/>
  <c r="J338" i="1"/>
  <c r="J352" i="1" s="1"/>
  <c r="C120" i="2"/>
  <c r="C111" i="2"/>
  <c r="D145" i="2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J434" i="1"/>
  <c r="F434" i="1"/>
  <c r="K434" i="1"/>
  <c r="G134" i="2" s="1"/>
  <c r="G144" i="2" s="1"/>
  <c r="G145" i="2" s="1"/>
  <c r="F31" i="13"/>
  <c r="F33" i="13" s="1"/>
  <c r="J193" i="1"/>
  <c r="H193" i="1"/>
  <c r="G169" i="1"/>
  <c r="C39" i="10" s="1"/>
  <c r="G140" i="1"/>
  <c r="F140" i="1"/>
  <c r="F193" i="1" s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H648" i="1"/>
  <c r="J652" i="1"/>
  <c r="G571" i="1"/>
  <c r="I434" i="1"/>
  <c r="G434" i="1"/>
  <c r="I663" i="1"/>
  <c r="C81" i="2" l="1"/>
  <c r="C104" i="2" s="1"/>
  <c r="G638" i="1"/>
  <c r="J472" i="1"/>
  <c r="I193" i="1"/>
  <c r="I661" i="1"/>
  <c r="G664" i="1"/>
  <c r="G667" i="1" s="1"/>
  <c r="L352" i="1"/>
  <c r="G633" i="1" s="1"/>
  <c r="C115" i="2"/>
  <c r="J647" i="1"/>
  <c r="J648" i="1"/>
  <c r="G646" i="1"/>
  <c r="J468" i="1"/>
  <c r="C141" i="2"/>
  <c r="C144" i="2" s="1"/>
  <c r="G636" i="1"/>
  <c r="I472" i="1"/>
  <c r="K552" i="1"/>
  <c r="C25" i="13"/>
  <c r="H33" i="13"/>
  <c r="L257" i="1"/>
  <c r="L271" i="1" s="1"/>
  <c r="G632" i="1" s="1"/>
  <c r="C128" i="2"/>
  <c r="E33" i="13"/>
  <c r="D35" i="13" s="1"/>
  <c r="E145" i="2"/>
  <c r="H472" i="1"/>
  <c r="H635" i="1"/>
  <c r="G474" i="1"/>
  <c r="G635" i="1"/>
  <c r="C27" i="10"/>
  <c r="C28" i="10" s="1"/>
  <c r="G630" i="1"/>
  <c r="I468" i="1"/>
  <c r="F104" i="2"/>
  <c r="G629" i="1"/>
  <c r="H468" i="1"/>
  <c r="D104" i="2"/>
  <c r="G627" i="1"/>
  <c r="F468" i="1"/>
  <c r="E51" i="2"/>
  <c r="L408" i="1"/>
  <c r="L545" i="1"/>
  <c r="I461" i="1"/>
  <c r="H642" i="1" s="1"/>
  <c r="J642" i="1" s="1"/>
  <c r="D31" i="13"/>
  <c r="C31" i="13" s="1"/>
  <c r="F660" i="1"/>
  <c r="G51" i="2"/>
  <c r="G104" i="2"/>
  <c r="H664" i="1"/>
  <c r="C51" i="2"/>
  <c r="G631" i="1"/>
  <c r="G193" i="1"/>
  <c r="G626" i="1"/>
  <c r="J52" i="1"/>
  <c r="H621" i="1" s="1"/>
  <c r="J621" i="1" s="1"/>
  <c r="C38" i="10"/>
  <c r="J635" i="1" l="1"/>
  <c r="J474" i="1"/>
  <c r="H638" i="1"/>
  <c r="G672" i="1"/>
  <c r="C5" i="10" s="1"/>
  <c r="J638" i="1"/>
  <c r="C145" i="2"/>
  <c r="H631" i="1"/>
  <c r="J631" i="1" s="1"/>
  <c r="J470" i="1"/>
  <c r="J476" i="1" s="1"/>
  <c r="H626" i="1" s="1"/>
  <c r="J626" i="1" s="1"/>
  <c r="H637" i="1"/>
  <c r="I474" i="1"/>
  <c r="H636" i="1"/>
  <c r="J636" i="1" s="1"/>
  <c r="F472" i="1"/>
  <c r="H632" i="1" s="1"/>
  <c r="J632" i="1" s="1"/>
  <c r="H474" i="1"/>
  <c r="H633" i="1"/>
  <c r="J633" i="1" s="1"/>
  <c r="D12" i="10"/>
  <c r="D16" i="10"/>
  <c r="D27" i="10"/>
  <c r="I470" i="1"/>
  <c r="H630" i="1"/>
  <c r="J630" i="1"/>
  <c r="H470" i="1"/>
  <c r="H476" i="1" s="1"/>
  <c r="H624" i="1" s="1"/>
  <c r="J624" i="1" s="1"/>
  <c r="H629" i="1"/>
  <c r="J629" i="1"/>
  <c r="D10" i="10"/>
  <c r="D19" i="10"/>
  <c r="D22" i="10"/>
  <c r="D24" i="10"/>
  <c r="D26" i="10"/>
  <c r="D15" i="10"/>
  <c r="D11" i="10"/>
  <c r="D23" i="10"/>
  <c r="D17" i="10"/>
  <c r="C30" i="10"/>
  <c r="D25" i="10"/>
  <c r="G628" i="1"/>
  <c r="G468" i="1"/>
  <c r="F470" i="1"/>
  <c r="H627" i="1"/>
  <c r="J627" i="1" s="1"/>
  <c r="D33" i="13"/>
  <c r="D36" i="13" s="1"/>
  <c r="D20" i="10"/>
  <c r="G637" i="1"/>
  <c r="J637" i="1" s="1"/>
  <c r="H646" i="1"/>
  <c r="J646" i="1" s="1"/>
  <c r="F664" i="1"/>
  <c r="I660" i="1"/>
  <c r="I664" i="1" s="1"/>
  <c r="I672" i="1" s="1"/>
  <c r="C7" i="10" s="1"/>
  <c r="D13" i="10"/>
  <c r="D21" i="10"/>
  <c r="H672" i="1"/>
  <c r="C6" i="10" s="1"/>
  <c r="H667" i="1"/>
  <c r="D18" i="10"/>
  <c r="C41" i="10"/>
  <c r="D38" i="10" s="1"/>
  <c r="F474" i="1" l="1"/>
  <c r="F476" i="1" s="1"/>
  <c r="H622" i="1" s="1"/>
  <c r="J622" i="1" s="1"/>
  <c r="I476" i="1"/>
  <c r="H625" i="1" s="1"/>
  <c r="J625" i="1" s="1"/>
  <c r="D28" i="10"/>
  <c r="G470" i="1"/>
  <c r="G476" i="1" s="1"/>
  <c r="H623" i="1" s="1"/>
  <c r="J623" i="1" s="1"/>
  <c r="H628" i="1"/>
  <c r="J628" i="1" s="1"/>
  <c r="F672" i="1"/>
  <c r="C4" i="10" s="1"/>
  <c r="F667" i="1"/>
  <c r="I667" i="1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<sst xmlns="http://schemas.openxmlformats.org/spreadsheetml/2006/main" count="3958" uniqueCount="914">
  <si>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</si>
  <si>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</si>
  <si>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</si>
  <si>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</si>
  <si>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</si>
  <si>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</si>
  <si>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</si>
  <si>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</si>
  <si>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</si>
  <si>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</si>
  <si>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</si>
  <si>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</si>
  <si>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</si>
  <si>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</si>
  <si>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</si>
  <si>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</si>
  <si>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</si>
  <si>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</si>
  <si>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</si>
  <si>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</si>
  <si>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</si>
  <si>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</si>
  <si>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</si>
  <si>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</si>
  <si>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</si>
  <si>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</si>
  <si>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</si>
  <si>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</si>
  <si>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</si>
  <si>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</si>
  <si>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</si>
  <si>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</si>
  <si>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</si>
  <si>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</si>
  <si>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</si>
  <si>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</si>
  <si>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</si>
  <si>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</si>
  <si>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</si>
  <si>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</si>
  <si>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</si>
  <si>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</si>
  <si>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</si>
  <si>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</si>
  <si>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</si>
  <si>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</si>
  <si>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</si>
  <si>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</si>
  <si>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</si>
  <si>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</si>
  <si>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</si>
  <si>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</si>
  <si>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</si>
  <si>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</si>
  <si>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</si>
  <si>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</si>
  <si>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</si>
  <si>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</si>
  <si>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</si>
  <si>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</si>
  <si>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</si>
  <si>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</si>
  <si>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</si>
  <si>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</si>
  <si>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</si>
  <si>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</si>
  <si>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</si>
  <si>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</si>
  <si>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</si>
  <si>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</si>
  <si>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</si>
  <si>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</si>
  <si>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</si>
  <si>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</si>
  <si>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</si>
  <si>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</si>
  <si>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</si>
  <si>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</si>
  <si>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</si>
  <si>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</si>
  <si>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</si>
  <si>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</si>
  <si>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</si>
  <si>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</si>
  <si>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</si>
  <si>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</si>
  <si>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</si>
  <si>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</si>
  <si>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</si>
  <si>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</si>
  <si>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</si>
  <si>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</si>
  <si>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</si>
  <si>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</si>
  <si>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</si>
  <si>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</si>
  <si>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</si>
  <si>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</si>
  <si>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</si>
  <si>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</si>
  <si>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</si>
  <si>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</si>
  <si>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</si>
  <si>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</si>
  <si>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</si>
  <si>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</si>
  <si>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</si>
  <si>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</si>
  <si>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</si>
  <si>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</si>
  <si>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</si>
  <si>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</si>
  <si>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</si>
  <si>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</si>
  <si>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</si>
  <si>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</si>
  <si>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</si>
  <si>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</si>
  <si>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</si>
  <si>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</si>
  <si>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</si>
  <si>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</si>
  <si>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</si>
  <si>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</si>
  <si>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</si>
  <si>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</si>
  <si>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</si>
  <si>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</si>
  <si>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</si>
  <si>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</si>
  <si>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</si>
  <si>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</si>
  <si>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</si>
  <si>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</si>
  <si>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</si>
  <si>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</si>
  <si>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</si>
  <si>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</si>
  <si>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</si>
  <si>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</si>
  <si>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</si>
  <si>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</si>
  <si>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</si>
  <si>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</si>
  <si>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</si>
  <si>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</si>
  <si>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</si>
  <si>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</si>
  <si>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</si>
  <si>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</si>
  <si>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</si>
  <si>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</si>
  <si>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</si>
  <si>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</si>
  <si>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</si>
  <si>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</si>
  <si>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</si>
  <si>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</si>
  <si>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</si>
  <si>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</si>
  <si>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</si>
  <si>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</si>
  <si>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</si>
  <si>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</si>
  <si>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</si>
  <si>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</si>
  <si>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</si>
  <si>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</si>
  <si>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</si>
  <si>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</si>
  <si>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</si>
  <si>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</si>
  <si>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</si>
  <si>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</si>
  <si>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</si>
  <si>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</si>
  <si>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</si>
  <si>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</si>
  <si>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</si>
  <si>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</si>
  <si>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</si>
  <si>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</si>
  <si>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</si>
  <si>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</si>
  <si>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</si>
  <si>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</si>
  <si>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</si>
  <si>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</si>
  <si>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</si>
  <si>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</si>
  <si>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</si>
  <si>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</si>
  <si>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</si>
  <si>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</si>
  <si>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</si>
  <si>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</si>
  <si>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</si>
  <si>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</si>
  <si>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</si>
  <si>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</si>
  <si>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</si>
  <si>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</si>
  <si>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</si>
  <si>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</si>
  <si>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</si>
  <si>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</si>
  <si>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</si>
  <si>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</si>
  <si>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</si>
  <si>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</si>
  <si>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</si>
  <si>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</si>
  <si>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</si>
  <si>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</si>
  <si>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</si>
  <si>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</si>
  <si>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</si>
  <si>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</si>
  <si>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</si>
  <si>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</si>
  <si>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</si>
  <si>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</si>
  <si>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</si>
  <si>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</si>
  <si>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</si>
  <si>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</si>
  <si>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</si>
  <si>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</si>
  <si>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</si>
  <si>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</si>
  <si>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</si>
  <si>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</si>
  <si>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</si>
  <si>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</si>
  <si>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</si>
  <si>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</si>
  <si>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</si>
  <si>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</si>
  <si>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</si>
  <si>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</si>
  <si>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</si>
  <si>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</si>
  <si>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</si>
  <si>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</si>
  <si>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</si>
  <si>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</si>
  <si>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</si>
  <si>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</si>
  <si>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</si>
  <si>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</si>
  <si>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</si>
  <si>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</si>
  <si>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</si>
  <si>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</si>
  <si>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</si>
  <si>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</si>
  <si>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</si>
  <si>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</si>
  <si>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</si>
  <si>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</si>
  <si>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</si>
  <si>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</si>
  <si>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</si>
  <si>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</si>
  <si>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</si>
  <si>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</si>
  <si>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</si>
  <si>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</si>
  <si>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</si>
  <si>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</si>
  <si>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</si>
  <si>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</si>
  <si>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</si>
  <si>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</si>
  <si>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</si>
  <si>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</si>
  <si>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</si>
  <si>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</si>
  <si>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</si>
  <si>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</si>
  <si>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</si>
  <si>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</si>
  <si>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</si>
  <si>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</si>
  <si>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</si>
  <si>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</si>
  <si>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</si>
  <si>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</si>
  <si>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</si>
  <si>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</si>
  <si>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</si>
  <si>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</si>
  <si>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</si>
  <si>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</si>
  <si>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</si>
  <si>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</si>
  <si>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</si>
  <si>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</si>
  <si>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</si>
  <si>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</si>
  <si>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</si>
  <si>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</si>
  <si>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</si>
  <si>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</si>
  <si>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</si>
  <si>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</si>
  <si>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</si>
  <si>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</si>
  <si>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</si>
  <si>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</si>
  <si>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</si>
  <si>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</si>
  <si>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</si>
  <si>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</si>
  <si>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</si>
  <si>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</si>
  <si>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</si>
  <si>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</si>
  <si>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</si>
  <si>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</si>
  <si>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</si>
  <si>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</si>
  <si>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</si>
  <si>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</si>
  <si>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</si>
  <si>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</si>
  <si>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</si>
  <si>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</si>
  <si>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</si>
  <si>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</si>
  <si>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</si>
  <si>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</si>
  <si>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</si>
  <si>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</si>
  <si>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</si>
  <si>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</si>
  <si>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</si>
  <si>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</si>
  <si>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</si>
  <si>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</si>
  <si>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</si>
  <si>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</si>
  <si>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</si>
  <si>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</si>
  <si>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</si>
  <si>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</si>
  <si>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</si>
  <si>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</si>
  <si>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</si>
  <si>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</si>
  <si>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</si>
  <si>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</si>
  <si>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</si>
  <si>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</si>
  <si>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</si>
  <si>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</si>
  <si>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</si>
  <si>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</si>
  <si>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</si>
  <si>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</si>
  <si>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</si>
  <si>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</si>
  <si>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</si>
  <si>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</si>
  <si>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</si>
  <si>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</si>
  <si>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</si>
  <si>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</si>
  <si>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</si>
  <si>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</si>
  <si>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</si>
  <si>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</si>
  <si>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</si>
  <si>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</si>
  <si>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</si>
  <si>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</si>
  <si>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</si>
  <si>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</si>
  <si>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</si>
  <si>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</si>
  <si>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</si>
  <si>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</si>
  <si>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</si>
  <si>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</si>
  <si>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</si>
  <si>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</si>
  <si>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</si>
  <si>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</si>
  <si>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</si>
  <si>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</si>
  <si>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</si>
  <si>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</si>
  <si>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</si>
  <si>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</si>
  <si>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</si>
  <si>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</si>
  <si>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</si>
  <si>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</si>
  <si>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</si>
  <si>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</si>
  <si>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</si>
  <si>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</si>
  <si>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</si>
  <si>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</si>
  <si>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</si>
  <si>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</si>
  <si>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</si>
  <si>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</si>
  <si>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</si>
  <si>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</si>
  <si>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</si>
  <si>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</si>
  <si>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</si>
  <si>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</si>
  <si>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</si>
  <si>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</si>
  <si>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</si>
  <si>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</si>
  <si>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</si>
  <si>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</si>
  <si>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</si>
  <si>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</si>
  <si>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</si>
  <si>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</si>
  <si>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</si>
  <si>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</si>
  <si>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</si>
  <si>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</si>
  <si>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</si>
  <si>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</si>
  <si>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</si>
  <si>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</si>
  <si>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</si>
  <si>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</si>
  <si>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</si>
  <si>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</si>
  <si>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</si>
  <si>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</si>
  <si>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</si>
  <si>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</si>
  <si>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</si>
  <si>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</si>
  <si>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</si>
  <si>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</si>
  <si>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</si>
  <si>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</si>
  <si>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</si>
  <si>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</si>
  <si>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</si>
  <si>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</si>
  <si>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</si>
  <si>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</si>
  <si>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</si>
  <si>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</si>
  <si>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</si>
  <si>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</si>
  <si>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</si>
  <si>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</si>
  <si>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</si>
  <si>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</si>
  <si>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</si>
  <si>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</si>
  <si>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</si>
  <si>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</si>
  <si>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</si>
  <si>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</si>
  <si>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</si>
  <si>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</si>
  <si>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</si>
  <si>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</si>
  <si>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</si>
  <si>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</si>
  <si>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</si>
  <si>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</si>
  <si>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</si>
  <si>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</si>
  <si>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</si>
  <si>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</si>
  <si>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</si>
  <si>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</si>
  <si>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</si>
  <si>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</si>
  <si>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</si>
  <si>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</si>
  <si>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</si>
  <si>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</si>
  <si>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</si>
  <si>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</si>
  <si>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</si>
  <si>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</si>
  <si>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</si>
  <si>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</si>
  <si>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</si>
  <si>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</si>
  <si>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</si>
  <si>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</si>
  <si>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</si>
  <si>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</si>
  <si>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</si>
  <si>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</si>
  <si>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</si>
  <si>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</si>
  <si>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</si>
  <si>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</si>
  <si>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</si>
  <si>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</si>
  <si>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</si>
  <si>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</si>
  <si>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</si>
  <si>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</si>
  <si>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</si>
  <si>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</si>
  <si>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</si>
  <si>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</si>
  <si>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</si>
  <si>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</si>
  <si>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</si>
  <si>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</si>
  <si>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</si>
  <si>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</si>
  <si>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</si>
  <si>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</si>
  <si>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</si>
  <si>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</si>
  <si>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</si>
  <si>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</si>
  <si>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</si>
  <si>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</si>
  <si>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</si>
  <si>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</si>
  <si>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</si>
  <si>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</si>
  <si>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</si>
  <si>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</si>
  <si>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</si>
  <si>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</si>
  <si>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</si>
  <si>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</si>
  <si>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</si>
  <si>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</si>
  <si>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</si>
  <si>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</si>
  <si>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</si>
  <si>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</si>
  <si>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</si>
  <si>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</si>
  <si>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</si>
  <si>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</si>
  <si>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</si>
  <si>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</si>
  <si>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</si>
  <si>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</si>
  <si>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</si>
  <si>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</si>
  <si>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</si>
  <si>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</si>
  <si>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</si>
  <si>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</si>
  <si>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</si>
  <si>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</si>
  <si>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</si>
  <si>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</si>
  <si>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</si>
  <si>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</si>
  <si>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</si>
  <si>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</si>
  <si>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</si>
  <si>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</si>
  <si>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</si>
  <si>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</si>
  <si>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</si>
  <si>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</si>
  <si>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</si>
  <si>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</si>
  <si>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</si>
  <si>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</si>
  <si>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</si>
  <si>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</si>
  <si>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</si>
  <si>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</si>
  <si>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</si>
  <si>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</si>
  <si>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</si>
  <si>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</si>
  <si>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</si>
  <si>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</si>
  <si>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</si>
  <si>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</si>
  <si>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</si>
  <si>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</si>
  <si>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</si>
  <si>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</si>
  <si>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</si>
  <si>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</si>
  <si>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</si>
  <si>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</si>
  <si>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</si>
  <si>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</si>
  <si>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</si>
  <si>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</si>
  <si>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</si>
  <si>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</si>
  <si>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</si>
  <si>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</si>
  <si>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</si>
  <si>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</si>
  <si>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</si>
  <si>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</si>
  <si>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</si>
  <si>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</si>
  <si>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</si>
  <si>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</si>
  <si>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</si>
  <si>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</si>
  <si>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</si>
  <si>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</si>
  <si>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</si>
  <si>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</si>
  <si>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</si>
  <si>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</si>
  <si>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</si>
  <si>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</si>
  <si>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</si>
  <si>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</si>
  <si>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</si>
  <si>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</si>
  <si>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</si>
  <si>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</si>
  <si>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</si>
  <si>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</si>
  <si>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</si>
  <si>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</si>
  <si>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</si>
  <si>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</si>
  <si>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</si>
  <si>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</si>
  <si>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</si>
  <si>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</si>
  <si>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</si>
  <si>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</si>
  <si>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</si>
  <si>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</si>
  <si>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</si>
  <si>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</si>
  <si>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</si>
  <si>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</si>
  <si>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</si>
  <si>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</si>
  <si>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</si>
  <si>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</si>
  <si>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</si>
  <si>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</si>
  <si>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</si>
  <si>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</si>
  <si>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</si>
  <si>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</si>
  <si>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</si>
  <si>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</si>
  <si>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</si>
  <si>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</si>
  <si>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</si>
  <si>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</si>
  <si>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</si>
  <si>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</si>
  <si>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</si>
  <si>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</si>
  <si>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</si>
  <si>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</si>
  <si>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</si>
  <si>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</si>
  <si>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</si>
  <si>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</si>
  <si>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</si>
  <si>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</si>
  <si>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</si>
  <si>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</si>
  <si>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</si>
  <si>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</si>
  <si>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</si>
  <si>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</si>
  <si>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</si>
  <si>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</si>
  <si>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</si>
  <si>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</si>
  <si>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</si>
  <si>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</si>
  <si>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</si>
  <si>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</si>
  <si>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</si>
  <si>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</si>
  <si>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</si>
  <si>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</si>
  <si>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</si>
  <si>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</si>
  <si>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</si>
  <si>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</si>
  <si>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</si>
  <si>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</si>
  <si>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</si>
  <si>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</si>
  <si>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</si>
  <si>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</si>
  <si>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</si>
  <si>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</si>
  <si>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</si>
  <si>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</si>
  <si>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</si>
  <si>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</si>
  <si>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</si>
  <si>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</si>
  <si>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</si>
  <si>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</si>
  <si>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</si>
  <si>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</si>
  <si>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</si>
  <si>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</si>
  <si>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</si>
  <si>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</si>
  <si>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</si>
  <si>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</si>
  <si>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</si>
  <si>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</si>
  <si>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</si>
  <si>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</si>
  <si>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</si>
  <si>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</si>
  <si>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</si>
  <si>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</si>
  <si>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</si>
  <si>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</si>
  <si>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</si>
  <si>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</si>
  <si>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</si>
  <si>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</si>
  <si>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</si>
  <si>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</si>
  <si>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</si>
  <si>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</si>
  <si>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</si>
  <si>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</si>
  <si>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</si>
  <si>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</si>
  <si>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</si>
  <si>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</si>
  <si>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</si>
  <si>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</si>
  <si>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</si>
  <si>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</si>
  <si>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</si>
  <si>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</si>
  <si>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</si>
  <si>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</si>
  <si>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</si>
  <si>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</si>
  <si>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</si>
  <si>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</si>
  <si>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</si>
  <si>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</si>
  <si>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</si>
  <si>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</si>
  <si>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</si>
  <si>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</si>
  <si>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</si>
  <si>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</si>
  <si>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</si>
  <si>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</si>
  <si>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</si>
  <si>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</si>
  <si>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</si>
  <si>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</si>
  <si>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</si>
  <si>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</si>
  <si>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</si>
  <si>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</si>
  <si>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</si>
  <si>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</si>
  <si>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</si>
  <si>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</si>
  <si>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</si>
  <si>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</si>
  <si>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</si>
  <si>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</si>
  <si>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</si>
  <si>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</si>
  <si>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</si>
  <si>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</si>
  <si>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</si>
  <si>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</si>
  <si>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</si>
  <si>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</si>
  <si>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</si>
  <si>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</si>
  <si>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</si>
  <si>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</si>
  <si>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</si>
  <si>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</si>
  <si>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</si>
  <si>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</si>
  <si>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</si>
  <si>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</si>
  <si>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</si>
  <si>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</si>
  <si>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</si>
  <si>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</si>
  <si>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</si>
  <si>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</si>
  <si>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</si>
  <si>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</si>
  <si>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</si>
  <si>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</si>
  <si>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</si>
  <si>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</si>
  <si>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</si>
  <si>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</si>
  <si>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</si>
  <si>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</si>
  <si>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</si>
  <si>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</si>
  <si>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</si>
  <si>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</si>
  <si>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</si>
  <si>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</si>
  <si>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</si>
  <si>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</si>
  <si>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</si>
  <si>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</si>
  <si>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</si>
  <si>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</si>
  <si>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</si>
  <si>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</si>
  <si>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</si>
  <si>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</si>
  <si>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</si>
  <si>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</si>
  <si>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</si>
  <si>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</si>
  <si>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</si>
  <si>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</si>
  <si>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</si>
  <si>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</si>
  <si>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</si>
  <si>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</si>
  <si>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</si>
  <si>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</si>
  <si>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</si>
  <si>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</si>
  <si>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</si>
  <si>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</si>
  <si>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</si>
  <si>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</si>
  <si>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</si>
  <si>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</si>
  <si>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</si>
  <si>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</si>
  <si>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</si>
  <si>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</si>
  <si>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</si>
  <si>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</si>
  <si>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</si>
  <si>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</si>
  <si>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</si>
  <si>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</si>
  <si>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</si>
  <si>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</si>
  <si>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</si>
  <si>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</si>
  <si>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</si>
  <si>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</si>
  <si>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</si>
  <si>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</si>
  <si>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</si>
  <si>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</si>
  <si>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</si>
  <si>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</si>
  <si>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</si>
  <si>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</si>
  <si>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</si>
  <si>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</si>
  <si>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</si>
  <si>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</si>
  <si>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</si>
  <si>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</si>
  <si>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</si>
  <si>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</si>
  <si>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</si>
  <si>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</si>
  <si>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</si>
  <si>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</si>
  <si>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</si>
  <si>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</si>
  <si>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</si>
  <si>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</si>
  <si>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</si>
  <si>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</si>
  <si>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</si>
  <si>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</si>
  <si>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</si>
  <si>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</si>
  <si>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</si>
  <si>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</si>
  <si>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</si>
  <si>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</si>
  <si>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</si>
  <si>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</si>
  <si>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</si>
  <si>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</si>
  <si>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</si>
  <si>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</si>
  <si>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</si>
  <si>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</si>
  <si>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</si>
  <si>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</si>
  <si>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ANDOVER SCHOOL DISTRICT</t>
  </si>
  <si>
    <t>PY adjustments after DOE25 submittal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</si>
</sst>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146" activePane="bottomRight" state="frozen"/>
      <selection pane="topRight" activeCell="F1" sqref="F1"/>
      <selection pane="bottomLeft" activeCell="A4" sqref="A4"/>
      <selection pane="bottomRight" activeCell="H159" sqref="H15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19</v>
      </c>
      <c r="C2" s="21">
        <v>19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174097+371582</f>
        <v>545679</v>
      </c>
      <c r="G9" s="18">
        <v>520</v>
      </c>
      <c r="H9" s="18"/>
      <c r="I9" s="18">
        <v>2737135</v>
      </c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353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0</v>
      </c>
      <c r="G12" s="18"/>
      <c r="H12" s="18">
        <v>25883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/>
      <c r="G13" s="18">
        <v>2795</v>
      </c>
      <c r="H13" s="18">
        <v>17932</v>
      </c>
      <c r="I13" s="18"/>
      <c r="J13" s="67">
        <f>SUM(I442)</f>
        <v>225942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221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546253</v>
      </c>
      <c r="G19" s="41">
        <f>SUM(G9:G18)</f>
        <v>3315</v>
      </c>
      <c r="H19" s="41">
        <f>SUM(H9:H18)</f>
        <v>43815</v>
      </c>
      <c r="I19" s="41">
        <f>SUM(I9:I18)</f>
        <v>2737135</v>
      </c>
      <c r="J19" s="41">
        <f>SUM(J9:J18)</f>
        <v>225942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49983-32261</f>
        <v>17722</v>
      </c>
      <c r="G22" s="18">
        <f>52278-49983</f>
        <v>2295</v>
      </c>
      <c r="H22" s="18">
        <f>5866</f>
        <v>5866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30592</v>
      </c>
      <c r="G24" s="18"/>
      <c r="H24" s="18">
        <v>630</v>
      </c>
      <c r="I24" s="18">
        <v>16274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215121</v>
      </c>
      <c r="G28" s="18">
        <v>1020</v>
      </c>
      <c r="H28" s="18">
        <v>6770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8148-68</f>
        <v>8080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25118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271515</v>
      </c>
      <c r="G32" s="41">
        <f>SUM(G22:G31)</f>
        <v>3315</v>
      </c>
      <c r="H32" s="41">
        <f>SUM(H22:H31)</f>
        <v>38384</v>
      </c>
      <c r="I32" s="41">
        <f>SUM(I22:I31)</f>
        <v>16274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2720861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200000</v>
      </c>
      <c r="G48" s="18"/>
      <c r="H48" s="18">
        <v>5431</v>
      </c>
      <c r="I48" s="18"/>
      <c r="J48" s="13">
        <f>SUM(I459)</f>
        <v>225942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36202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274738-36202-200000</f>
        <v>38536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274738</v>
      </c>
      <c r="G51" s="41">
        <f>SUM(G35:G50)</f>
        <v>0</v>
      </c>
      <c r="H51" s="41">
        <f>SUM(H35:H50)</f>
        <v>5431</v>
      </c>
      <c r="I51" s="41">
        <f>SUM(I35:I50)</f>
        <v>2720861</v>
      </c>
      <c r="J51" s="41">
        <f>SUM(J35:J50)</f>
        <v>225942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546253</v>
      </c>
      <c r="G52" s="41">
        <f>G51+G32</f>
        <v>3315</v>
      </c>
      <c r="H52" s="41">
        <f>H51+H32</f>
        <v>43815</v>
      </c>
      <c r="I52" s="41">
        <f>I51+I32</f>
        <v>2737135</v>
      </c>
      <c r="J52" s="41">
        <f>J51+J32</f>
        <v>225942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3263511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3263511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f>986+7790+1</f>
        <v>8777</v>
      </c>
      <c r="G96" s="18">
        <v>4</v>
      </c>
      <c r="H96" s="18"/>
      <c r="I96" s="18">
        <v>6089</v>
      </c>
      <c r="J96" s="18">
        <v>618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47509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150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8927</v>
      </c>
      <c r="G111" s="41">
        <f>SUM(G96:G110)</f>
        <v>47513</v>
      </c>
      <c r="H111" s="41">
        <f>SUM(H96:H110)</f>
        <v>0</v>
      </c>
      <c r="I111" s="41">
        <f>SUM(I96:I110)</f>
        <v>6089</v>
      </c>
      <c r="J111" s="41">
        <f>SUM(J96:J110)</f>
        <v>618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3272438</v>
      </c>
      <c r="G112" s="41">
        <f>G60+G111</f>
        <v>47513</v>
      </c>
      <c r="H112" s="41">
        <f>H60+H79+H94+H111</f>
        <v>0</v>
      </c>
      <c r="I112" s="41">
        <f>I60+I111</f>
        <v>6089</v>
      </c>
      <c r="J112" s="41">
        <f>J60+J111</f>
        <v>618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940479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539462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3484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1483425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4556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1728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4556</v>
      </c>
      <c r="G136" s="41">
        <f>SUM(G123:G135)</f>
        <v>1728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1487981</v>
      </c>
      <c r="G140" s="41">
        <f>G121+SUM(G136:G137)</f>
        <v>1728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32307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12813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39848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75202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31949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15132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31949</v>
      </c>
      <c r="G162" s="41">
        <f>SUM(G150:G161)</f>
        <v>39848</v>
      </c>
      <c r="H162" s="41">
        <f>SUM(H150:H161)</f>
        <v>135454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31949</v>
      </c>
      <c r="G169" s="41">
        <f>G147+G162+SUM(G163:G168)</f>
        <v>39848</v>
      </c>
      <c r="H169" s="41">
        <f>H147+H162+SUM(H163:H168)</f>
        <v>135454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>
        <v>3600000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3600000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49983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49983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49983</v>
      </c>
      <c r="H192" s="41">
        <f>+H183+SUM(H188:H191)</f>
        <v>0</v>
      </c>
      <c r="I192" s="41">
        <f>I177+I183+SUM(I188:I191)</f>
        <v>3600000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4792368</v>
      </c>
      <c r="G193" s="47">
        <f>G112+G140+G169+G192</f>
        <v>139072</v>
      </c>
      <c r="H193" s="47">
        <f>H112+H140+H169+H192</f>
        <v>135454</v>
      </c>
      <c r="I193" s="47">
        <f>I112+I140+I169+I192</f>
        <v>3606089</v>
      </c>
      <c r="J193" s="47">
        <f>J112+J140+J192</f>
        <v>618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1142459</v>
      </c>
      <c r="G197" s="18">
        <v>539053</v>
      </c>
      <c r="H197" s="18">
        <f>744865-723967</f>
        <v>20898</v>
      </c>
      <c r="I197" s="18">
        <v>60236</v>
      </c>
      <c r="J197" s="18"/>
      <c r="K197" s="18"/>
      <c r="L197" s="19">
        <f>SUM(F197:K197)</f>
        <v>1762646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295005</v>
      </c>
      <c r="G198" s="18">
        <v>124644</v>
      </c>
      <c r="H198" s="18">
        <f>367614-51665</f>
        <v>315949</v>
      </c>
      <c r="I198" s="18">
        <v>1989</v>
      </c>
      <c r="J198" s="18">
        <v>5585</v>
      </c>
      <c r="K198" s="18">
        <v>926</v>
      </c>
      <c r="L198" s="19">
        <f>SUM(F198:K198)</f>
        <v>744098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13000</v>
      </c>
      <c r="G200" s="18">
        <v>2326</v>
      </c>
      <c r="H200" s="18">
        <v>2016</v>
      </c>
      <c r="I200" s="18">
        <v>3819</v>
      </c>
      <c r="J200" s="18"/>
      <c r="K200" s="18">
        <v>175</v>
      </c>
      <c r="L200" s="19">
        <f>SUM(F200:K200)</f>
        <v>21336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96929</v>
      </c>
      <c r="G202" s="18">
        <v>48400</v>
      </c>
      <c r="H202" s="18">
        <v>129716</v>
      </c>
      <c r="I202" s="18">
        <v>4887</v>
      </c>
      <c r="J202" s="18"/>
      <c r="K202" s="18"/>
      <c r="L202" s="19">
        <f t="shared" ref="L202:L208" si="0">SUM(F202:K202)</f>
        <v>279932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20773</v>
      </c>
      <c r="G203" s="18">
        <v>29518</v>
      </c>
      <c r="H203" s="18">
        <v>6869</v>
      </c>
      <c r="I203" s="18">
        <v>4449</v>
      </c>
      <c r="J203" s="18"/>
      <c r="K203" s="18"/>
      <c r="L203" s="19">
        <f t="shared" si="0"/>
        <v>61609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1542</v>
      </c>
      <c r="G204" s="18">
        <v>22</v>
      </c>
      <c r="H204" s="18">
        <f>23166+106144</f>
        <v>129310</v>
      </c>
      <c r="I204" s="18">
        <v>764</v>
      </c>
      <c r="J204" s="18"/>
      <c r="K204" s="18">
        <v>2943</v>
      </c>
      <c r="L204" s="19">
        <f t="shared" si="0"/>
        <v>134581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137284</v>
      </c>
      <c r="G205" s="18">
        <v>57860</v>
      </c>
      <c r="H205" s="18">
        <v>7693</v>
      </c>
      <c r="I205" s="18">
        <v>1950</v>
      </c>
      <c r="J205" s="18">
        <v>5990</v>
      </c>
      <c r="K205" s="18"/>
      <c r="L205" s="19">
        <f t="shared" si="0"/>
        <v>210777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84039</v>
      </c>
      <c r="G207" s="18">
        <v>13248</v>
      </c>
      <c r="H207" s="18">
        <v>69171</v>
      </c>
      <c r="I207" s="18">
        <v>67962</v>
      </c>
      <c r="J207" s="18"/>
      <c r="K207" s="18"/>
      <c r="L207" s="19">
        <f t="shared" si="0"/>
        <v>234420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319376-69997</f>
        <v>249379</v>
      </c>
      <c r="I208" s="18"/>
      <c r="J208" s="18"/>
      <c r="K208" s="18"/>
      <c r="L208" s="19">
        <f t="shared" si="0"/>
        <v>249379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1791031</v>
      </c>
      <c r="G211" s="41">
        <f t="shared" si="1"/>
        <v>815071</v>
      </c>
      <c r="H211" s="41">
        <f t="shared" si="1"/>
        <v>931001</v>
      </c>
      <c r="I211" s="41">
        <f t="shared" si="1"/>
        <v>146056</v>
      </c>
      <c r="J211" s="41">
        <f t="shared" si="1"/>
        <v>11575</v>
      </c>
      <c r="K211" s="41">
        <f t="shared" si="1"/>
        <v>4044</v>
      </c>
      <c r="L211" s="41">
        <f t="shared" si="1"/>
        <v>3698778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723967</f>
        <v>723967</v>
      </c>
      <c r="I233" s="18"/>
      <c r="J233" s="18"/>
      <c r="K233" s="18"/>
      <c r="L233" s="19">
        <f>SUM(F233:K233)</f>
        <v>723967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51665</v>
      </c>
      <c r="I234" s="18"/>
      <c r="J234" s="18"/>
      <c r="K234" s="18"/>
      <c r="L234" s="19">
        <f>SUM(F234:K234)</f>
        <v>51665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50591+19406</f>
        <v>69997</v>
      </c>
      <c r="I244" s="18"/>
      <c r="J244" s="18"/>
      <c r="K244" s="18"/>
      <c r="L244" s="19">
        <f t="shared" si="4"/>
        <v>69997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845629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845629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>
        <v>31833</v>
      </c>
      <c r="L255" s="19">
        <f t="shared" si="6"/>
        <v>31833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31833</v>
      </c>
      <c r="L256" s="41">
        <f>SUM(F256:K256)</f>
        <v>31833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1791031</v>
      </c>
      <c r="G257" s="41">
        <f t="shared" si="8"/>
        <v>815071</v>
      </c>
      <c r="H257" s="41">
        <f t="shared" si="8"/>
        <v>1776630</v>
      </c>
      <c r="I257" s="41">
        <f t="shared" si="8"/>
        <v>146056</v>
      </c>
      <c r="J257" s="41">
        <f t="shared" si="8"/>
        <v>11575</v>
      </c>
      <c r="K257" s="41">
        <f t="shared" si="8"/>
        <v>35877</v>
      </c>
      <c r="L257" s="41">
        <f t="shared" si="8"/>
        <v>4576240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260838</v>
      </c>
      <c r="L260" s="19">
        <f>SUM(F260:K260)</f>
        <v>260838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33179</v>
      </c>
      <c r="L261" s="19">
        <f>SUM(F261:K261)</f>
        <v>33179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49983</v>
      </c>
      <c r="L263" s="19">
        <f>SUM(F263:K263)</f>
        <v>49983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344000</v>
      </c>
      <c r="L270" s="41">
        <f t="shared" si="9"/>
        <v>344000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1791031</v>
      </c>
      <c r="G271" s="42">
        <f t="shared" si="11"/>
        <v>815071</v>
      </c>
      <c r="H271" s="42">
        <f t="shared" si="11"/>
        <v>1776630</v>
      </c>
      <c r="I271" s="42">
        <f t="shared" si="11"/>
        <v>146056</v>
      </c>
      <c r="J271" s="42">
        <f t="shared" si="11"/>
        <v>11575</v>
      </c>
      <c r="K271" s="42">
        <f t="shared" si="11"/>
        <v>379877</v>
      </c>
      <c r="L271" s="42">
        <f t="shared" si="11"/>
        <v>4920240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29790</v>
      </c>
      <c r="G276" s="18">
        <v>3074</v>
      </c>
      <c r="H276" s="18"/>
      <c r="I276" s="18">
        <v>14188</v>
      </c>
      <c r="J276" s="18"/>
      <c r="K276" s="18"/>
      <c r="L276" s="19">
        <f>SUM(F276:K276)</f>
        <v>47052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18055</v>
      </c>
      <c r="G277" s="18">
        <v>6128</v>
      </c>
      <c r="H277" s="18"/>
      <c r="I277" s="18">
        <v>168</v>
      </c>
      <c r="J277" s="18"/>
      <c r="K277" s="18"/>
      <c r="L277" s="19">
        <f>SUM(F277:K277)</f>
        <v>24351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>
        <v>50851</v>
      </c>
      <c r="I281" s="18"/>
      <c r="J281" s="18"/>
      <c r="K281" s="18"/>
      <c r="L281" s="19">
        <f t="shared" ref="L281:L287" si="12">SUM(F281:K281)</f>
        <v>50851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5912</v>
      </c>
      <c r="I282" s="18"/>
      <c r="J282" s="18">
        <v>6900</v>
      </c>
      <c r="K282" s="18"/>
      <c r="L282" s="19">
        <f t="shared" si="12"/>
        <v>12812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388</v>
      </c>
      <c r="L285" s="19">
        <f t="shared" si="12"/>
        <v>388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47845</v>
      </c>
      <c r="G290" s="42">
        <f t="shared" si="13"/>
        <v>9202</v>
      </c>
      <c r="H290" s="42">
        <f t="shared" si="13"/>
        <v>56763</v>
      </c>
      <c r="I290" s="42">
        <f t="shared" si="13"/>
        <v>14356</v>
      </c>
      <c r="J290" s="42">
        <f t="shared" si="13"/>
        <v>6900</v>
      </c>
      <c r="K290" s="42">
        <f t="shared" si="13"/>
        <v>388</v>
      </c>
      <c r="L290" s="41">
        <f t="shared" si="13"/>
        <v>135454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47845</v>
      </c>
      <c r="G338" s="41">
        <f t="shared" si="20"/>
        <v>9202</v>
      </c>
      <c r="H338" s="41">
        <f t="shared" si="20"/>
        <v>56763</v>
      </c>
      <c r="I338" s="41">
        <f t="shared" si="20"/>
        <v>14356</v>
      </c>
      <c r="J338" s="41">
        <f t="shared" si="20"/>
        <v>6900</v>
      </c>
      <c r="K338" s="41">
        <f t="shared" si="20"/>
        <v>388</v>
      </c>
      <c r="L338" s="41">
        <f t="shared" si="20"/>
        <v>135454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47845</v>
      </c>
      <c r="G352" s="41">
        <f>G338</f>
        <v>9202</v>
      </c>
      <c r="H352" s="41">
        <f>H338</f>
        <v>56763</v>
      </c>
      <c r="I352" s="41">
        <f>I338</f>
        <v>14356</v>
      </c>
      <c r="J352" s="41">
        <f>J338</f>
        <v>6900</v>
      </c>
      <c r="K352" s="47">
        <f>K338+K351</f>
        <v>388</v>
      </c>
      <c r="L352" s="41">
        <f>L338+L351</f>
        <v>135454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42242</v>
      </c>
      <c r="G358" s="18">
        <v>22700</v>
      </c>
      <c r="H358" s="18">
        <v>5460</v>
      </c>
      <c r="I358" s="18">
        <v>67856</v>
      </c>
      <c r="J358" s="18"/>
      <c r="K358" s="18"/>
      <c r="L358" s="13">
        <f>SUM(F358:K358)</f>
        <v>138258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42242</v>
      </c>
      <c r="G362" s="47">
        <f t="shared" si="22"/>
        <v>22700</v>
      </c>
      <c r="H362" s="47">
        <f t="shared" si="22"/>
        <v>5460</v>
      </c>
      <c r="I362" s="47">
        <f t="shared" si="22"/>
        <v>67856</v>
      </c>
      <c r="J362" s="47">
        <f t="shared" si="22"/>
        <v>0</v>
      </c>
      <c r="K362" s="47">
        <f t="shared" si="22"/>
        <v>0</v>
      </c>
      <c r="L362" s="47">
        <f t="shared" si="22"/>
        <v>138258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66399</v>
      </c>
      <c r="G367" s="18"/>
      <c r="H367" s="18"/>
      <c r="I367" s="56">
        <f>SUM(F367:H367)</f>
        <v>66399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1457</v>
      </c>
      <c r="G368" s="63"/>
      <c r="H368" s="63"/>
      <c r="I368" s="56">
        <f>SUM(F368:H368)</f>
        <v>1457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67856</v>
      </c>
      <c r="G369" s="47">
        <f>SUM(G367:G368)</f>
        <v>0</v>
      </c>
      <c r="H369" s="47">
        <f>SUM(H367:H368)</f>
        <v>0</v>
      </c>
      <c r="I369" s="47">
        <f>SUM(I367:I368)</f>
        <v>67856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>
        <v>1877</v>
      </c>
      <c r="I375" s="18"/>
      <c r="J375" s="18"/>
      <c r="K375" s="18"/>
      <c r="L375" s="13">
        <f t="shared" ref="L375:L381" si="23">SUM(F375:K375)</f>
        <v>1877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>
        <v>356519</v>
      </c>
      <c r="I376" s="18"/>
      <c r="J376" s="18"/>
      <c r="K376" s="18"/>
      <c r="L376" s="13">
        <f t="shared" si="23"/>
        <v>356519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>
        <f>515247</f>
        <v>515247</v>
      </c>
      <c r="I378" s="18"/>
      <c r="J378" s="18"/>
      <c r="K378" s="18"/>
      <c r="L378" s="13">
        <f t="shared" si="23"/>
        <v>515247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>
        <f>3528+8057</f>
        <v>11585</v>
      </c>
      <c r="I380" s="18"/>
      <c r="J380" s="18"/>
      <c r="K380" s="18"/>
      <c r="L380" s="13">
        <f t="shared" si="23"/>
        <v>11585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885228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885228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39</v>
      </c>
      <c r="I396" s="18"/>
      <c r="J396" s="24" t="s">
        <v>286</v>
      </c>
      <c r="K396" s="24" t="s">
        <v>286</v>
      </c>
      <c r="L396" s="56">
        <f t="shared" si="26"/>
        <v>39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375</v>
      </c>
      <c r="I397" s="18"/>
      <c r="J397" s="24" t="s">
        <v>286</v>
      </c>
      <c r="K397" s="24" t="s">
        <v>286</v>
      </c>
      <c r="L397" s="56">
        <f t="shared" si="26"/>
        <v>375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204</v>
      </c>
      <c r="I398" s="18"/>
      <c r="J398" s="24" t="s">
        <v>286</v>
      </c>
      <c r="K398" s="24" t="s">
        <v>286</v>
      </c>
      <c r="L398" s="56">
        <f t="shared" si="26"/>
        <v>204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618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618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618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618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225942</v>
      </c>
      <c r="H442" s="18"/>
      <c r="I442" s="56">
        <f t="shared" si="33"/>
        <v>225942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225942</v>
      </c>
      <c r="H446" s="13">
        <f>SUM(H439:H445)</f>
        <v>0</v>
      </c>
      <c r="I446" s="13">
        <f>SUM(I439:I445)</f>
        <v>225942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225942</v>
      </c>
      <c r="H459" s="18"/>
      <c r="I459" s="56">
        <f t="shared" si="34"/>
        <v>225942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225942</v>
      </c>
      <c r="H460" s="83">
        <f>SUM(H454:H459)</f>
        <v>0</v>
      </c>
      <c r="I460" s="83">
        <f>SUM(I454:I459)</f>
        <v>225942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225942</v>
      </c>
      <c r="H461" s="42">
        <f>H452+H460</f>
        <v>0</v>
      </c>
      <c r="I461" s="42">
        <f>I452+I460</f>
        <v>225942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400897</v>
      </c>
      <c r="G465" s="18">
        <v>0</v>
      </c>
      <c r="H465" s="18">
        <v>5431</v>
      </c>
      <c r="I465" s="18"/>
      <c r="J465" s="18">
        <v>225373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4792368</v>
      </c>
      <c r="G468" s="18">
        <f t="shared" ref="G468:I468" si="35">G193</f>
        <v>139072</v>
      </c>
      <c r="H468" s="18">
        <f t="shared" si="35"/>
        <v>135454</v>
      </c>
      <c r="I468" s="18">
        <f t="shared" si="35"/>
        <v>3606089</v>
      </c>
      <c r="J468" s="18">
        <f>J193</f>
        <v>618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1713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4794081</v>
      </c>
      <c r="G470" s="53">
        <f>SUM(G468:G469)</f>
        <v>139072</v>
      </c>
      <c r="H470" s="53">
        <f>SUM(H468:H469)</f>
        <v>135454</v>
      </c>
      <c r="I470" s="53">
        <f>SUM(I468:I469)</f>
        <v>3606089</v>
      </c>
      <c r="J470" s="53">
        <f>SUM(J468:J469)</f>
        <v>618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4920240</v>
      </c>
      <c r="G472" s="18">
        <f>L362</f>
        <v>138258</v>
      </c>
      <c r="H472" s="18">
        <f>L352</f>
        <v>135454</v>
      </c>
      <c r="I472" s="18">
        <f>L382</f>
        <v>885228</v>
      </c>
      <c r="J472" s="18">
        <f>L434</f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>
        <v>814</v>
      </c>
      <c r="H473" s="18"/>
      <c r="I473" s="18"/>
      <c r="J473" s="18">
        <v>49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4920240</v>
      </c>
      <c r="G474" s="53">
        <f>SUM(G472:G473)</f>
        <v>139072</v>
      </c>
      <c r="H474" s="53">
        <f>SUM(H472:H473)</f>
        <v>135454</v>
      </c>
      <c r="I474" s="53">
        <f>SUM(I472:I473)</f>
        <v>885228</v>
      </c>
      <c r="J474" s="53">
        <f>SUM(J472:J473)</f>
        <v>49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274738</v>
      </c>
      <c r="G476" s="53">
        <f>(G465+G470)- G474</f>
        <v>0</v>
      </c>
      <c r="H476" s="53">
        <f>(H465+H470)- H474</f>
        <v>5431</v>
      </c>
      <c r="I476" s="53">
        <f>(I465+I470)- I474</f>
        <v>2720861</v>
      </c>
      <c r="J476" s="53">
        <f>(J465+J470)- J474</f>
        <v>225942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18055+295005</f>
        <v>313060</v>
      </c>
      <c r="G521" s="18">
        <f>6128+124644</f>
        <v>130772</v>
      </c>
      <c r="H521" s="18">
        <f>367614-51665</f>
        <v>315949</v>
      </c>
      <c r="I521" s="18">
        <f>168+1989</f>
        <v>2157</v>
      </c>
      <c r="J521" s="18">
        <v>5585</v>
      </c>
      <c r="K521" s="18">
        <v>926</v>
      </c>
      <c r="L521" s="88">
        <f>SUM(F521:K521)</f>
        <v>768449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>
        <v>51665</v>
      </c>
      <c r="I523" s="18"/>
      <c r="J523" s="18"/>
      <c r="K523" s="18"/>
      <c r="L523" s="88">
        <f>SUM(F523:K523)</f>
        <v>51665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313060</v>
      </c>
      <c r="G524" s="108">
        <f t="shared" ref="G524:L524" si="37">SUM(G521:G523)</f>
        <v>130772</v>
      </c>
      <c r="H524" s="108">
        <f t="shared" si="37"/>
        <v>367614</v>
      </c>
      <c r="I524" s="108">
        <f t="shared" si="37"/>
        <v>2157</v>
      </c>
      <c r="J524" s="108">
        <f t="shared" si="37"/>
        <v>5585</v>
      </c>
      <c r="K524" s="108">
        <f t="shared" si="37"/>
        <v>926</v>
      </c>
      <c r="L524" s="89">
        <f t="shared" si="37"/>
        <v>820114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f>50851+126138</f>
        <v>176989</v>
      </c>
      <c r="I526" s="18"/>
      <c r="J526" s="18"/>
      <c r="K526" s="18"/>
      <c r="L526" s="88">
        <f>SUM(F526:K526)</f>
        <v>176989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176989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176989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3578</v>
      </c>
      <c r="I531" s="18"/>
      <c r="J531" s="18"/>
      <c r="K531" s="18"/>
      <c r="L531" s="88">
        <f>SUM(F531:K531)</f>
        <v>3578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3578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3578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8339</v>
      </c>
      <c r="I536" s="18"/>
      <c r="J536" s="18"/>
      <c r="K536" s="18"/>
      <c r="L536" s="88">
        <f>SUM(F536:K536)</f>
        <v>8339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8339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8339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33387</v>
      </c>
      <c r="I541" s="18"/>
      <c r="J541" s="18"/>
      <c r="K541" s="18"/>
      <c r="L541" s="88">
        <f>SUM(F541:K541)</f>
        <v>33387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19406</v>
      </c>
      <c r="I543" s="18"/>
      <c r="J543" s="18"/>
      <c r="K543" s="18"/>
      <c r="L543" s="88">
        <f>SUM(F543:K543)</f>
        <v>19406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52793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52793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313060</v>
      </c>
      <c r="G545" s="89">
        <f t="shared" ref="G545:L545" si="42">G524+G529+G534+G539+G544</f>
        <v>130772</v>
      </c>
      <c r="H545" s="89">
        <f t="shared" si="42"/>
        <v>609313</v>
      </c>
      <c r="I545" s="89">
        <f t="shared" si="42"/>
        <v>2157</v>
      </c>
      <c r="J545" s="89">
        <f t="shared" si="42"/>
        <v>5585</v>
      </c>
      <c r="K545" s="89">
        <f t="shared" si="42"/>
        <v>926</v>
      </c>
      <c r="L545" s="89">
        <f t="shared" si="42"/>
        <v>1061813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768449</v>
      </c>
      <c r="G549" s="87">
        <f>L526</f>
        <v>176989</v>
      </c>
      <c r="H549" s="87">
        <f>L531</f>
        <v>3578</v>
      </c>
      <c r="I549" s="87">
        <f>L536</f>
        <v>8339</v>
      </c>
      <c r="J549" s="87">
        <f>L541</f>
        <v>33387</v>
      </c>
      <c r="K549" s="87">
        <f>SUM(F549:J549)</f>
        <v>990742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51665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19406</v>
      </c>
      <c r="K551" s="87">
        <f>SUM(F551:J551)</f>
        <v>71071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820114</v>
      </c>
      <c r="G552" s="89">
        <f t="shared" si="43"/>
        <v>176989</v>
      </c>
      <c r="H552" s="89">
        <f t="shared" si="43"/>
        <v>3578</v>
      </c>
      <c r="I552" s="89">
        <f t="shared" si="43"/>
        <v>8339</v>
      </c>
      <c r="J552" s="89">
        <f t="shared" si="43"/>
        <v>52793</v>
      </c>
      <c r="K552" s="89">
        <f t="shared" si="43"/>
        <v>1061813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723967</v>
      </c>
      <c r="I575" s="87">
        <f>SUM(F575:H575)</f>
        <v>723967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310802</v>
      </c>
      <c r="G579" s="18"/>
      <c r="H579" s="18">
        <v>51665</v>
      </c>
      <c r="I579" s="87">
        <f t="shared" si="48"/>
        <v>362467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8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205362</v>
      </c>
      <c r="I591" s="18"/>
      <c r="J591" s="18">
        <v>50591</v>
      </c>
      <c r="K591" s="104">
        <f t="shared" ref="K591:K597" si="49">SUM(H591:J591)</f>
        <v>255953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33387</v>
      </c>
      <c r="I592" s="18"/>
      <c r="J592" s="18">
        <v>19406</v>
      </c>
      <c r="K592" s="104">
        <f t="shared" si="49"/>
        <v>52793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7288</v>
      </c>
      <c r="I594" s="18"/>
      <c r="J594" s="18"/>
      <c r="K594" s="104">
        <f t="shared" si="49"/>
        <v>7288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3342</v>
      </c>
      <c r="I595" s="18"/>
      <c r="J595" s="18"/>
      <c r="K595" s="104">
        <f t="shared" si="49"/>
        <v>3342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249379</v>
      </c>
      <c r="I598" s="108">
        <f>SUM(I591:I597)</f>
        <v>0</v>
      </c>
      <c r="J598" s="108">
        <f>SUM(J591:J597)</f>
        <v>69997</v>
      </c>
      <c r="K598" s="108">
        <f>SUM(K591:K597)</f>
        <v>319376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11575+6900</f>
        <v>18475</v>
      </c>
      <c r="I604" s="18"/>
      <c r="J604" s="18"/>
      <c r="K604" s="104">
        <f>SUM(H604:J604)</f>
        <v>18475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18475</v>
      </c>
      <c r="I605" s="108">
        <f>SUM(I602:I604)</f>
        <v>0</v>
      </c>
      <c r="J605" s="108">
        <f>SUM(J602:J604)</f>
        <v>0</v>
      </c>
      <c r="K605" s="108">
        <f>SUM(K602:K604)</f>
        <v>18475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546253</v>
      </c>
      <c r="H617" s="109">
        <f>SUM(F52)</f>
        <v>546253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3315</v>
      </c>
      <c r="H618" s="109">
        <f>SUM(G52)</f>
        <v>3315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43815</v>
      </c>
      <c r="H619" s="109">
        <f>SUM(H52)</f>
        <v>43815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2737135</v>
      </c>
      <c r="H620" s="109">
        <f>SUM(I52)</f>
        <v>2737135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225942</v>
      </c>
      <c r="H621" s="109">
        <f>SUM(J52)</f>
        <v>225942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274738</v>
      </c>
      <c r="H622" s="109">
        <f>F476</f>
        <v>274738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5431</v>
      </c>
      <c r="H624" s="109">
        <f>H476</f>
        <v>5431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2720861</v>
      </c>
      <c r="H625" s="109">
        <f>I476</f>
        <v>2720861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225942</v>
      </c>
      <c r="H626" s="109">
        <f>J476</f>
        <v>225942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4792368</v>
      </c>
      <c r="H627" s="104">
        <f>SUM(F468)</f>
        <v>4792368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139072</v>
      </c>
      <c r="H628" s="104">
        <f>SUM(G468)</f>
        <v>139072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135454</v>
      </c>
      <c r="H629" s="104">
        <f>SUM(H468)</f>
        <v>135454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3606089</v>
      </c>
      <c r="H630" s="104">
        <f>SUM(I468)</f>
        <v>3606089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618</v>
      </c>
      <c r="H631" s="104">
        <f>SUM(J468)</f>
        <v>618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4920240</v>
      </c>
      <c r="H632" s="104">
        <f>SUM(F472)</f>
        <v>4920240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135454</v>
      </c>
      <c r="H633" s="104">
        <f>SUM(H472)</f>
        <v>135454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67856</v>
      </c>
      <c r="H634" s="104">
        <f>I369</f>
        <v>67856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138258</v>
      </c>
      <c r="H635" s="104">
        <f>SUM(G472)</f>
        <v>138258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885228</v>
      </c>
      <c r="H636" s="104">
        <f>SUM(I472)</f>
        <v>885228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618</v>
      </c>
      <c r="H637" s="164">
        <f>SUM(J468)</f>
        <v>618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225942</v>
      </c>
      <c r="H640" s="104">
        <f>SUM(G461)</f>
        <v>225942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225942</v>
      </c>
      <c r="H642" s="104">
        <f>SUM(I461)</f>
        <v>225942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618</v>
      </c>
      <c r="H644" s="104">
        <f>H408</f>
        <v>618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618</v>
      </c>
      <c r="H646" s="104">
        <f>L408</f>
        <v>618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319376</v>
      </c>
      <c r="H647" s="104">
        <f>L208+L226+L244</f>
        <v>319376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18475</v>
      </c>
      <c r="H648" s="104">
        <f>(J257+J338)-(J255+J336)</f>
        <v>18475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249379</v>
      </c>
      <c r="H649" s="104">
        <f>H598</f>
        <v>249379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69997</v>
      </c>
      <c r="H651" s="104">
        <f>J598</f>
        <v>69997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49983</v>
      </c>
      <c r="H652" s="104">
        <f>K263+K345</f>
        <v>49983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3972490</v>
      </c>
      <c r="G660" s="19">
        <f>(L229+L309+L359)</f>
        <v>0</v>
      </c>
      <c r="H660" s="19">
        <f>(L247+L328+L360)</f>
        <v>845629</v>
      </c>
      <c r="I660" s="19">
        <f>SUM(F660:H660)</f>
        <v>4818119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47509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47509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249379</v>
      </c>
      <c r="G662" s="19">
        <f>(L226+L306)-(J226+J306)</f>
        <v>0</v>
      </c>
      <c r="H662" s="19">
        <f>(L244+L325)-(J244+J325)</f>
        <v>69997</v>
      </c>
      <c r="I662" s="19">
        <f>SUM(F662:H662)</f>
        <v>319376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329277</v>
      </c>
      <c r="G663" s="199">
        <f>SUM(G575:G587)+SUM(I602:I604)+L612</f>
        <v>0</v>
      </c>
      <c r="H663" s="199">
        <f>SUM(H575:H587)+SUM(J602:J604)+L613</f>
        <v>775632</v>
      </c>
      <c r="I663" s="19">
        <f>SUM(F663:H663)</f>
        <v>1104909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3346325</v>
      </c>
      <c r="G664" s="19">
        <f>G660-SUM(G661:G663)</f>
        <v>0</v>
      </c>
      <c r="H664" s="19">
        <f>H660-SUM(H661:H663)</f>
        <v>0</v>
      </c>
      <c r="I664" s="19">
        <f>I660-SUM(I661:I663)</f>
        <v>3346325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250.33</v>
      </c>
      <c r="G665" s="248">
        <v>0</v>
      </c>
      <c r="H665" s="248"/>
      <c r="I665" s="19">
        <f>SUM(F665:H665)</f>
        <v>250.33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13367.65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13367.65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13367.65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13367.65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ANDOVER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1172249</v>
      </c>
      <c r="C9" s="229">
        <f>'DOE25'!G197+'DOE25'!G215+'DOE25'!G233+'DOE25'!G276+'DOE25'!G295+'DOE25'!G314</f>
        <v>542127</v>
      </c>
    </row>
    <row r="10" spans="1:3" x14ac:dyDescent="0.2">
      <c r="A10" t="s">
        <v>773</v>
      </c>
      <c r="B10" s="240">
        <v>1101914.06</v>
      </c>
      <c r="C10" s="240">
        <v>509599.38</v>
      </c>
    </row>
    <row r="11" spans="1:3" x14ac:dyDescent="0.2">
      <c r="A11" t="s">
        <v>774</v>
      </c>
      <c r="B11" s="240">
        <v>70334.94</v>
      </c>
      <c r="C11" s="240">
        <v>32527.62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1172249</v>
      </c>
      <c r="C13" s="231">
        <f>SUM(C10:C12)</f>
        <v>542127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313060</v>
      </c>
      <c r="C18" s="229">
        <f>'DOE25'!G198+'DOE25'!G216+'DOE25'!G234+'DOE25'!G277+'DOE25'!G296+'DOE25'!G315</f>
        <v>130772</v>
      </c>
    </row>
    <row r="19" spans="1:3" x14ac:dyDescent="0.2">
      <c r="A19" t="s">
        <v>773</v>
      </c>
      <c r="B19" s="240">
        <v>228533.8</v>
      </c>
      <c r="C19" s="240">
        <v>95463.56</v>
      </c>
    </row>
    <row r="20" spans="1:3" x14ac:dyDescent="0.2">
      <c r="A20" t="s">
        <v>774</v>
      </c>
      <c r="B20" s="240">
        <v>84526.2</v>
      </c>
      <c r="C20" s="240">
        <v>35308.44</v>
      </c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313060</v>
      </c>
      <c r="C22" s="231">
        <f>SUM(C19:C21)</f>
        <v>130772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13000</v>
      </c>
      <c r="C36" s="235">
        <f>'DOE25'!G200+'DOE25'!G218+'DOE25'!G236+'DOE25'!G279+'DOE25'!G298+'DOE25'!G317</f>
        <v>2326</v>
      </c>
    </row>
    <row r="37" spans="1:3" x14ac:dyDescent="0.2">
      <c r="A37" t="s">
        <v>773</v>
      </c>
      <c r="B37" s="240">
        <v>13000</v>
      </c>
      <c r="C37" s="240">
        <v>2326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13000</v>
      </c>
      <c r="C40" s="231">
        <f>SUM(C37:C39)</f>
        <v>2326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ANDOVER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3303712</v>
      </c>
      <c r="D5" s="20">
        <f>SUM('DOE25'!L197:L200)+SUM('DOE25'!L215:L218)+SUM('DOE25'!L233:L236)-F5-G5</f>
        <v>3297026</v>
      </c>
      <c r="E5" s="243"/>
      <c r="F5" s="255">
        <f>SUM('DOE25'!J197:J200)+SUM('DOE25'!J215:J218)+SUM('DOE25'!J233:J236)</f>
        <v>5585</v>
      </c>
      <c r="G5" s="53">
        <f>SUM('DOE25'!K197:K200)+SUM('DOE25'!K215:K218)+SUM('DOE25'!K233:K236)</f>
        <v>1101</v>
      </c>
      <c r="H5" s="259"/>
    </row>
    <row r="6" spans="1:9" x14ac:dyDescent="0.2">
      <c r="A6" s="32">
        <v>2100</v>
      </c>
      <c r="B6" t="s">
        <v>795</v>
      </c>
      <c r="C6" s="245">
        <f t="shared" si="0"/>
        <v>279932</v>
      </c>
      <c r="D6" s="20">
        <f>'DOE25'!L202+'DOE25'!L220+'DOE25'!L238-F6-G6</f>
        <v>279932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61609</v>
      </c>
      <c r="D7" s="20">
        <f>'DOE25'!L203+'DOE25'!L221+'DOE25'!L239-F7-G7</f>
        <v>61609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75210.614999999991</v>
      </c>
      <c r="D8" s="243"/>
      <c r="E8" s="20">
        <f>'DOE25'!L204+'DOE25'!L222+'DOE25'!L240-F8-G8-D9-D11</f>
        <v>72267.614999999991</v>
      </c>
      <c r="F8" s="255">
        <f>'DOE25'!J204+'DOE25'!J222+'DOE25'!J240</f>
        <v>0</v>
      </c>
      <c r="G8" s="53">
        <f>'DOE25'!K204+'DOE25'!K222+'DOE25'!K240</f>
        <v>2943</v>
      </c>
      <c r="H8" s="259"/>
    </row>
    <row r="9" spans="1:9" x14ac:dyDescent="0.2">
      <c r="A9" s="32">
        <v>2310</v>
      </c>
      <c r="B9" t="s">
        <v>812</v>
      </c>
      <c r="C9" s="245">
        <f t="shared" si="0"/>
        <v>8862.2900000000009</v>
      </c>
      <c r="D9" s="244">
        <v>8862.2900000000009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5325</v>
      </c>
      <c r="D10" s="243"/>
      <c r="E10" s="244">
        <v>5325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50508.095000000001</v>
      </c>
      <c r="D11" s="244">
        <v>50508.095000000001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210777</v>
      </c>
      <c r="D12" s="20">
        <f>'DOE25'!L205+'DOE25'!L223+'DOE25'!L241-F12-G12</f>
        <v>204787</v>
      </c>
      <c r="E12" s="243"/>
      <c r="F12" s="255">
        <f>'DOE25'!J205+'DOE25'!J223+'DOE25'!J241</f>
        <v>5990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234420</v>
      </c>
      <c r="D14" s="20">
        <f>'DOE25'!L207+'DOE25'!L225+'DOE25'!L243-F14-G14</f>
        <v>234420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319376</v>
      </c>
      <c r="D15" s="20">
        <f>'DOE25'!L208+'DOE25'!L226+'DOE25'!L244-F15-G15</f>
        <v>319376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31833</v>
      </c>
      <c r="D22" s="243"/>
      <c r="E22" s="243"/>
      <c r="F22" s="255">
        <f>'DOE25'!L255+'DOE25'!L336</f>
        <v>31833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294017</v>
      </c>
      <c r="D25" s="243"/>
      <c r="E25" s="243"/>
      <c r="F25" s="258"/>
      <c r="G25" s="256"/>
      <c r="H25" s="257">
        <f>'DOE25'!L260+'DOE25'!L261+'DOE25'!L341+'DOE25'!L342</f>
        <v>294017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71859</v>
      </c>
      <c r="D29" s="20">
        <f>'DOE25'!L358+'DOE25'!L359+'DOE25'!L360-'DOE25'!I367-F29-G29</f>
        <v>71859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135454</v>
      </c>
      <c r="D31" s="20">
        <f>'DOE25'!L290+'DOE25'!L309+'DOE25'!L328+'DOE25'!L333+'DOE25'!L334+'DOE25'!L335-F31-G31</f>
        <v>128166</v>
      </c>
      <c r="E31" s="243"/>
      <c r="F31" s="255">
        <f>'DOE25'!J290+'DOE25'!J309+'DOE25'!J328+'DOE25'!J333+'DOE25'!J334+'DOE25'!J335</f>
        <v>6900</v>
      </c>
      <c r="G31" s="53">
        <f>'DOE25'!K290+'DOE25'!K309+'DOE25'!K328+'DOE25'!K333+'DOE25'!K334+'DOE25'!K335</f>
        <v>388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4656545.3849999998</v>
      </c>
      <c r="E33" s="246">
        <f>SUM(E5:E31)</f>
        <v>77592.614999999991</v>
      </c>
      <c r="F33" s="246">
        <f>SUM(F5:F31)</f>
        <v>50308</v>
      </c>
      <c r="G33" s="246">
        <f>SUM(G5:G31)</f>
        <v>4432</v>
      </c>
      <c r="H33" s="246">
        <f>SUM(H5:H31)</f>
        <v>294017</v>
      </c>
    </row>
    <row r="35" spans="2:8" ht="12" thickBot="1" x14ac:dyDescent="0.25">
      <c r="B35" s="253" t="s">
        <v>841</v>
      </c>
      <c r="D35" s="254">
        <f>E33</f>
        <v>77592.614999999991</v>
      </c>
      <c r="E35" s="249"/>
    </row>
    <row r="36" spans="2:8" ht="12" thickTop="1" x14ac:dyDescent="0.2">
      <c r="B36" t="s">
        <v>809</v>
      </c>
      <c r="D36" s="20">
        <f>D33</f>
        <v>4656545.3849999998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ANDOVER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545679</v>
      </c>
      <c r="D8" s="95">
        <f>'DOE25'!G9</f>
        <v>520</v>
      </c>
      <c r="E8" s="95">
        <f>'DOE25'!H9</f>
        <v>0</v>
      </c>
      <c r="F8" s="95">
        <f>'DOE25'!I9</f>
        <v>2737135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353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25883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2795</v>
      </c>
      <c r="E12" s="95">
        <f>'DOE25'!H13</f>
        <v>17932</v>
      </c>
      <c r="F12" s="95">
        <f>'DOE25'!I13</f>
        <v>0</v>
      </c>
      <c r="G12" s="95">
        <f>'DOE25'!J13</f>
        <v>225942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546253</v>
      </c>
      <c r="D18" s="41">
        <f>SUM(D8:D17)</f>
        <v>3315</v>
      </c>
      <c r="E18" s="41">
        <f>SUM(E8:E17)</f>
        <v>43815</v>
      </c>
      <c r="F18" s="41">
        <f>SUM(F8:F17)</f>
        <v>2737135</v>
      </c>
      <c r="G18" s="41">
        <f>SUM(G8:G17)</f>
        <v>225942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17722</v>
      </c>
      <c r="D21" s="95">
        <f>'DOE25'!G22</f>
        <v>2295</v>
      </c>
      <c r="E21" s="95">
        <f>'DOE25'!H22</f>
        <v>5866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30592</v>
      </c>
      <c r="D23" s="95">
        <f>'DOE25'!G24</f>
        <v>0</v>
      </c>
      <c r="E23" s="95">
        <f>'DOE25'!H24</f>
        <v>630</v>
      </c>
      <c r="F23" s="95">
        <f>'DOE25'!I24</f>
        <v>16274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215121</v>
      </c>
      <c r="D27" s="95">
        <f>'DOE25'!G28</f>
        <v>1020</v>
      </c>
      <c r="E27" s="95">
        <f>'DOE25'!H28</f>
        <v>6770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8080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25118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271515</v>
      </c>
      <c r="D31" s="41">
        <f>SUM(D21:D30)</f>
        <v>3315</v>
      </c>
      <c r="E31" s="41">
        <f>SUM(E21:E30)</f>
        <v>38384</v>
      </c>
      <c r="F31" s="41">
        <f>SUM(F21:F30)</f>
        <v>16274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2720861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200000</v>
      </c>
      <c r="D47" s="95">
        <f>'DOE25'!G48</f>
        <v>0</v>
      </c>
      <c r="E47" s="95">
        <f>'DOE25'!H48</f>
        <v>5431</v>
      </c>
      <c r="F47" s="95">
        <f>'DOE25'!I48</f>
        <v>0</v>
      </c>
      <c r="G47" s="95">
        <f>'DOE25'!J48</f>
        <v>225942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36202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38536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274738</v>
      </c>
      <c r="D50" s="41">
        <f>SUM(D34:D49)</f>
        <v>0</v>
      </c>
      <c r="E50" s="41">
        <f>SUM(E34:E49)</f>
        <v>5431</v>
      </c>
      <c r="F50" s="41">
        <f>SUM(F34:F49)</f>
        <v>2720861</v>
      </c>
      <c r="G50" s="41">
        <f>SUM(G34:G49)</f>
        <v>225942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546253</v>
      </c>
      <c r="D51" s="41">
        <f>D50+D31</f>
        <v>3315</v>
      </c>
      <c r="E51" s="41">
        <f>E50+E31</f>
        <v>43815</v>
      </c>
      <c r="F51" s="41">
        <f>F50+F31</f>
        <v>2737135</v>
      </c>
      <c r="G51" s="41">
        <f>G50+G31</f>
        <v>225942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3263511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8777</v>
      </c>
      <c r="D59" s="95">
        <f>'DOE25'!G96</f>
        <v>4</v>
      </c>
      <c r="E59" s="95">
        <f>'DOE25'!H96</f>
        <v>0</v>
      </c>
      <c r="F59" s="95">
        <f>'DOE25'!I96</f>
        <v>6089</v>
      </c>
      <c r="G59" s="95">
        <f>'DOE25'!J96</f>
        <v>618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47509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150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8927</v>
      </c>
      <c r="D62" s="130">
        <f>SUM(D57:D61)</f>
        <v>47513</v>
      </c>
      <c r="E62" s="130">
        <f>SUM(E57:E61)</f>
        <v>0</v>
      </c>
      <c r="F62" s="130">
        <f>SUM(F57:F61)</f>
        <v>6089</v>
      </c>
      <c r="G62" s="130">
        <f>SUM(G57:G61)</f>
        <v>618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3272438</v>
      </c>
      <c r="D63" s="22">
        <f>D56+D62</f>
        <v>47513</v>
      </c>
      <c r="E63" s="22">
        <f>E56+E62</f>
        <v>0</v>
      </c>
      <c r="F63" s="22">
        <f>F56+F62</f>
        <v>6089</v>
      </c>
      <c r="G63" s="22">
        <f>G56+G62</f>
        <v>618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940479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539462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3484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1483425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4556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1728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4556</v>
      </c>
      <c r="D78" s="130">
        <f>SUM(D72:D77)</f>
        <v>1728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1487981</v>
      </c>
      <c r="D81" s="130">
        <f>SUM(D79:D80)+D78+D70</f>
        <v>1728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31949</v>
      </c>
      <c r="D88" s="95">
        <f>SUM('DOE25'!G153:G161)</f>
        <v>39848</v>
      </c>
      <c r="E88" s="95">
        <f>SUM('DOE25'!H153:H161)</f>
        <v>135454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31949</v>
      </c>
      <c r="D91" s="131">
        <f>SUM(D85:D90)</f>
        <v>39848</v>
      </c>
      <c r="E91" s="131">
        <f>SUM(E85:E90)</f>
        <v>135454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3600000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49983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49983</v>
      </c>
      <c r="E103" s="86">
        <f>SUM(E93:E102)</f>
        <v>0</v>
      </c>
      <c r="F103" s="86">
        <f>SUM(F93:F102)</f>
        <v>3600000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4792368</v>
      </c>
      <c r="D104" s="86">
        <f>D63+D81+D91+D103</f>
        <v>139072</v>
      </c>
      <c r="E104" s="86">
        <f>E63+E81+E91+E103</f>
        <v>135454</v>
      </c>
      <c r="F104" s="86">
        <f>F63+F81+F91+F103</f>
        <v>3606089</v>
      </c>
      <c r="G104" s="86">
        <f>G63+G81+G103</f>
        <v>618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2486613</v>
      </c>
      <c r="D109" s="24" t="s">
        <v>286</v>
      </c>
      <c r="E109" s="95">
        <f>('DOE25'!L276)+('DOE25'!L295)+('DOE25'!L314)</f>
        <v>47052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795763</v>
      </c>
      <c r="D110" s="24" t="s">
        <v>286</v>
      </c>
      <c r="E110" s="95">
        <f>('DOE25'!L277)+('DOE25'!L296)+('DOE25'!L315)</f>
        <v>24351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21336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3303712</v>
      </c>
      <c r="D115" s="86">
        <f>SUM(D109:D114)</f>
        <v>0</v>
      </c>
      <c r="E115" s="86">
        <f>SUM(E109:E114)</f>
        <v>71403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279932</v>
      </c>
      <c r="D118" s="24" t="s">
        <v>286</v>
      </c>
      <c r="E118" s="95">
        <f>+('DOE25'!L281)+('DOE25'!L300)+('DOE25'!L319)</f>
        <v>50851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61609</v>
      </c>
      <c r="D119" s="24" t="s">
        <v>286</v>
      </c>
      <c r="E119" s="95">
        <f>+('DOE25'!L282)+('DOE25'!L301)+('DOE25'!L320)</f>
        <v>12812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134581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210777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388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234420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319376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138258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1240695</v>
      </c>
      <c r="D128" s="86">
        <f>SUM(D118:D127)</f>
        <v>138258</v>
      </c>
      <c r="E128" s="86">
        <f>SUM(E118:E127)</f>
        <v>64051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31833</v>
      </c>
      <c r="D130" s="24" t="s">
        <v>286</v>
      </c>
      <c r="E130" s="129">
        <f>'DOE25'!L336</f>
        <v>0</v>
      </c>
      <c r="F130" s="129">
        <f>SUM('DOE25'!L374:'DOE25'!L380)</f>
        <v>885228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260838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33179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49983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618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-618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375833</v>
      </c>
      <c r="D144" s="141">
        <f>SUM(D130:D143)</f>
        <v>0</v>
      </c>
      <c r="E144" s="141">
        <f>SUM(E130:E143)</f>
        <v>0</v>
      </c>
      <c r="F144" s="141">
        <f>SUM(F130:F143)</f>
        <v>885228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4920240</v>
      </c>
      <c r="D145" s="86">
        <f>(D115+D128+D144)</f>
        <v>138258</v>
      </c>
      <c r="E145" s="86">
        <f>(E115+E128+E144)</f>
        <v>135454</v>
      </c>
      <c r="F145" s="86">
        <f>(F115+F128+F144)</f>
        <v>885228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ANDOVER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13368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13368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2533665</v>
      </c>
      <c r="D10" s="182">
        <f>ROUND((C10/$C$28)*100,1)</f>
        <v>52.7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820114</v>
      </c>
      <c r="D11" s="182">
        <f>ROUND((C11/$C$28)*100,1)</f>
        <v>17.100000000000001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21336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330783</v>
      </c>
      <c r="D15" s="182">
        <f t="shared" ref="D15:D27" si="0">ROUND((C15/$C$28)*100,1)</f>
        <v>6.9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74421</v>
      </c>
      <c r="D16" s="182">
        <f t="shared" si="0"/>
        <v>1.5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134581</v>
      </c>
      <c r="D17" s="182">
        <f t="shared" si="0"/>
        <v>2.8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210777</v>
      </c>
      <c r="D18" s="182">
        <f t="shared" si="0"/>
        <v>4.4000000000000004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388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234420</v>
      </c>
      <c r="D20" s="182">
        <f t="shared" si="0"/>
        <v>4.9000000000000004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319376</v>
      </c>
      <c r="D21" s="182">
        <f t="shared" si="0"/>
        <v>6.6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33179</v>
      </c>
      <c r="D25" s="182">
        <f t="shared" si="0"/>
        <v>0.7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90749</v>
      </c>
      <c r="D27" s="182">
        <f t="shared" si="0"/>
        <v>1.9</v>
      </c>
    </row>
    <row r="28" spans="1:4" x14ac:dyDescent="0.2">
      <c r="B28" s="187" t="s">
        <v>717</v>
      </c>
      <c r="C28" s="180">
        <f>SUM(C10:C27)</f>
        <v>4803789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917061</v>
      </c>
    </row>
    <row r="30" spans="1:4" x14ac:dyDescent="0.2">
      <c r="B30" s="187" t="s">
        <v>723</v>
      </c>
      <c r="C30" s="180">
        <f>SUM(C28:C29)</f>
        <v>5720850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260838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3263511</v>
      </c>
      <c r="D35" s="182">
        <f t="shared" ref="D35:D40" si="1">ROUND((C35/$C$41)*100,1)</f>
        <v>65.599999999999994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15638</v>
      </c>
      <c r="D36" s="182">
        <f t="shared" si="1"/>
        <v>0.3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1479941</v>
      </c>
      <c r="D37" s="182">
        <f t="shared" si="1"/>
        <v>29.7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9768</v>
      </c>
      <c r="D38" s="182">
        <f t="shared" si="1"/>
        <v>0.2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207251</v>
      </c>
      <c r="D39" s="182">
        <f t="shared" si="1"/>
        <v>4.2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4976109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3600000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ANDOVER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2018-09-18T17:21:01Z</cp:lastPrinted>
  <dcterms:created xsi:type="dcterms:W3CDTF">1997-12-04T19:04:30Z</dcterms:created>
  <dcterms:modified xsi:type="dcterms:W3CDTF">2018-11-28T18:04:34Z</dcterms:modified>
</cp:coreProperties>
</file>