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22005" windowHeight="1225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E16" i="13" s="1"/>
  <c r="C16" i="13" s="1"/>
  <c r="F5" i="13"/>
  <c r="G5" i="13"/>
  <c r="L197" i="1"/>
  <c r="L198" i="1"/>
  <c r="C110" i="2" s="1"/>
  <c r="L199" i="1"/>
  <c r="C111" i="2" s="1"/>
  <c r="L200" i="1"/>
  <c r="L215" i="1"/>
  <c r="L216" i="1"/>
  <c r="L229" i="1" s="1"/>
  <c r="L217" i="1"/>
  <c r="L218" i="1"/>
  <c r="L233" i="1"/>
  <c r="L234" i="1"/>
  <c r="L235" i="1"/>
  <c r="L247" i="1" s="1"/>
  <c r="L236" i="1"/>
  <c r="F6" i="13"/>
  <c r="G6" i="13"/>
  <c r="L202" i="1"/>
  <c r="L220" i="1"/>
  <c r="L238" i="1"/>
  <c r="F7" i="13"/>
  <c r="G7" i="13"/>
  <c r="L203" i="1"/>
  <c r="L221" i="1"/>
  <c r="L239" i="1"/>
  <c r="D7" i="13" s="1"/>
  <c r="C7" i="13" s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H647" i="1" s="1"/>
  <c r="L226" i="1"/>
  <c r="L244" i="1"/>
  <c r="F17" i="13"/>
  <c r="G17" i="13"/>
  <c r="D17" i="13" s="1"/>
  <c r="C17" i="13" s="1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D29" i="13" s="1"/>
  <c r="C29" i="13" s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E124" i="2" s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8" i="1" s="1"/>
  <c r="H660" i="1" s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L341" i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E85" i="2" s="1"/>
  <c r="H162" i="1"/>
  <c r="I147" i="1"/>
  <c r="I162" i="1"/>
  <c r="C11" i="10"/>
  <c r="C12" i="10"/>
  <c r="L250" i="1"/>
  <c r="C113" i="2" s="1"/>
  <c r="L332" i="1"/>
  <c r="L254" i="1"/>
  <c r="L268" i="1"/>
  <c r="L269" i="1"/>
  <c r="L349" i="1"/>
  <c r="L350" i="1"/>
  <c r="I665" i="1"/>
  <c r="I670" i="1"/>
  <c r="F662" i="1"/>
  <c r="I662" i="1" s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E135" i="2" s="1"/>
  <c r="L346" i="1"/>
  <c r="E137" i="2" s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K551" i="1" s="1"/>
  <c r="L531" i="1"/>
  <c r="H549" i="1" s="1"/>
  <c r="L532" i="1"/>
  <c r="H550" i="1" s="1"/>
  <c r="L533" i="1"/>
  <c r="H551" i="1" s="1"/>
  <c r="H552" i="1" s="1"/>
  <c r="L536" i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L270" i="1" s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E78" i="2" s="1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C91" i="2" s="1"/>
  <c r="D85" i="2"/>
  <c r="D91" i="2" s="1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E103" i="2" s="1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1" i="2"/>
  <c r="E112" i="2"/>
  <c r="E113" i="2"/>
  <c r="D115" i="2"/>
  <c r="F115" i="2"/>
  <c r="G115" i="2"/>
  <c r="C118" i="2"/>
  <c r="E119" i="2"/>
  <c r="E120" i="2"/>
  <c r="E121" i="2"/>
  <c r="E123" i="2"/>
  <c r="C124" i="2"/>
  <c r="E125" i="2"/>
  <c r="D127" i="2"/>
  <c r="D128" i="2" s="1"/>
  <c r="F128" i="2"/>
  <c r="G128" i="2"/>
  <c r="C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G625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G401" i="1"/>
  <c r="H401" i="1"/>
  <c r="H408" i="1" s="1"/>
  <c r="H644" i="1" s="1"/>
  <c r="I401" i="1"/>
  <c r="F407" i="1"/>
  <c r="G407" i="1"/>
  <c r="H407" i="1"/>
  <c r="I407" i="1"/>
  <c r="F408" i="1"/>
  <c r="H643" i="1" s="1"/>
  <c r="J643" i="1" s="1"/>
  <c r="G408" i="1"/>
  <c r="H645" i="1" s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7" i="1" s="1"/>
  <c r="L423" i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G452" i="1"/>
  <c r="H452" i="1"/>
  <c r="H461" i="1" s="1"/>
  <c r="H641" i="1" s="1"/>
  <c r="J641" i="1" s="1"/>
  <c r="F460" i="1"/>
  <c r="F461" i="1" s="1"/>
  <c r="H639" i="1" s="1"/>
  <c r="G460" i="1"/>
  <c r="G461" i="1" s="1"/>
  <c r="H640" i="1" s="1"/>
  <c r="H460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J639" i="1" s="1"/>
  <c r="G643" i="1"/>
  <c r="G644" i="1"/>
  <c r="G645" i="1"/>
  <c r="G650" i="1"/>
  <c r="G651" i="1"/>
  <c r="J651" i="1" s="1"/>
  <c r="G652" i="1"/>
  <c r="H652" i="1"/>
  <c r="G653" i="1"/>
  <c r="H653" i="1"/>
  <c r="G654" i="1"/>
  <c r="H654" i="1"/>
  <c r="H655" i="1"/>
  <c r="J655" i="1" s="1"/>
  <c r="F192" i="1"/>
  <c r="A31" i="12"/>
  <c r="D15" i="13"/>
  <c r="C15" i="13" s="1"/>
  <c r="D6" i="13"/>
  <c r="C6" i="13" s="1"/>
  <c r="G157" i="2"/>
  <c r="G62" i="2"/>
  <c r="D19" i="13"/>
  <c r="C19" i="13" s="1"/>
  <c r="E13" i="13"/>
  <c r="C13" i="13" s="1"/>
  <c r="I169" i="1"/>
  <c r="H476" i="1"/>
  <c r="H624" i="1" s="1"/>
  <c r="J140" i="1"/>
  <c r="K545" i="1"/>
  <c r="H140" i="1"/>
  <c r="H192" i="1"/>
  <c r="C35" i="10"/>
  <c r="L570" i="1"/>
  <c r="I571" i="1"/>
  <c r="G36" i="2"/>
  <c r="H571" i="1" l="1"/>
  <c r="I545" i="1"/>
  <c r="H545" i="1"/>
  <c r="G545" i="1"/>
  <c r="E115" i="2"/>
  <c r="L290" i="1"/>
  <c r="L338" i="1" s="1"/>
  <c r="L352" i="1" s="1"/>
  <c r="G633" i="1" s="1"/>
  <c r="J633" i="1" s="1"/>
  <c r="E31" i="2"/>
  <c r="I549" i="1"/>
  <c r="I552" i="1" s="1"/>
  <c r="L539" i="1"/>
  <c r="C142" i="2"/>
  <c r="C26" i="10"/>
  <c r="E57" i="2"/>
  <c r="E62" i="2" s="1"/>
  <c r="E63" i="2" s="1"/>
  <c r="H112" i="1"/>
  <c r="H663" i="1"/>
  <c r="I663" i="1" s="1"/>
  <c r="L614" i="1"/>
  <c r="C29" i="10"/>
  <c r="F18" i="2"/>
  <c r="J552" i="1"/>
  <c r="G552" i="1"/>
  <c r="F169" i="1"/>
  <c r="J257" i="1"/>
  <c r="J271" i="1" s="1"/>
  <c r="F257" i="1"/>
  <c r="F271" i="1" s="1"/>
  <c r="D164" i="2"/>
  <c r="K503" i="1"/>
  <c r="D18" i="2"/>
  <c r="F130" i="2"/>
  <c r="F144" i="2" s="1"/>
  <c r="F145" i="2" s="1"/>
  <c r="F552" i="1"/>
  <c r="K550" i="1"/>
  <c r="H25" i="13"/>
  <c r="C132" i="2"/>
  <c r="C25" i="10"/>
  <c r="L309" i="1"/>
  <c r="E122" i="2"/>
  <c r="E128" i="2" s="1"/>
  <c r="J545" i="1"/>
  <c r="K549" i="1"/>
  <c r="K552" i="1" s="1"/>
  <c r="L393" i="1"/>
  <c r="C138" i="2" s="1"/>
  <c r="F22" i="13"/>
  <c r="C22" i="13" s="1"/>
  <c r="L560" i="1"/>
  <c r="L571" i="1" s="1"/>
  <c r="G164" i="2"/>
  <c r="G161" i="2"/>
  <c r="E130" i="2"/>
  <c r="E81" i="2"/>
  <c r="F78" i="2"/>
  <c r="F81" i="2" s="1"/>
  <c r="D18" i="13"/>
  <c r="C18" i="13" s="1"/>
  <c r="J640" i="1"/>
  <c r="I257" i="1"/>
  <c r="I271" i="1" s="1"/>
  <c r="D31" i="2"/>
  <c r="D51" i="2" s="1"/>
  <c r="C21" i="10"/>
  <c r="K338" i="1"/>
  <c r="K352" i="1" s="1"/>
  <c r="G338" i="1"/>
  <c r="G352" i="1" s="1"/>
  <c r="H257" i="1"/>
  <c r="H271" i="1" s="1"/>
  <c r="C125" i="2"/>
  <c r="C78" i="2"/>
  <c r="C19" i="10"/>
  <c r="F112" i="1"/>
  <c r="A13" i="12"/>
  <c r="F661" i="1"/>
  <c r="C18" i="10"/>
  <c r="C120" i="2"/>
  <c r="C15" i="10"/>
  <c r="C20" i="10"/>
  <c r="G649" i="1"/>
  <c r="L544" i="1"/>
  <c r="L524" i="1"/>
  <c r="H169" i="1"/>
  <c r="H193" i="1" s="1"/>
  <c r="G629" i="1" s="1"/>
  <c r="J629" i="1" s="1"/>
  <c r="L351" i="1"/>
  <c r="L529" i="1"/>
  <c r="I476" i="1"/>
  <c r="H625" i="1" s="1"/>
  <c r="J625" i="1" s="1"/>
  <c r="I460" i="1"/>
  <c r="I452" i="1"/>
  <c r="I446" i="1"/>
  <c r="G642" i="1" s="1"/>
  <c r="J645" i="1"/>
  <c r="L382" i="1"/>
  <c r="G636" i="1" s="1"/>
  <c r="J636" i="1" s="1"/>
  <c r="J338" i="1"/>
  <c r="J352" i="1" s="1"/>
  <c r="F338" i="1"/>
  <c r="F352" i="1" s="1"/>
  <c r="K257" i="1"/>
  <c r="K271" i="1" s="1"/>
  <c r="G257" i="1"/>
  <c r="G271" i="1" s="1"/>
  <c r="E118" i="2"/>
  <c r="G81" i="2"/>
  <c r="C70" i="2"/>
  <c r="C17" i="10"/>
  <c r="I369" i="1"/>
  <c r="H634" i="1" s="1"/>
  <c r="C112" i="2"/>
  <c r="K598" i="1"/>
  <c r="G647" i="1" s="1"/>
  <c r="J649" i="1"/>
  <c r="J624" i="1"/>
  <c r="J476" i="1"/>
  <c r="H626" i="1" s="1"/>
  <c r="H52" i="1"/>
  <c r="H619" i="1" s="1"/>
  <c r="J619" i="1" s="1"/>
  <c r="I52" i="1"/>
  <c r="H620" i="1" s="1"/>
  <c r="J620" i="1" s="1"/>
  <c r="C18" i="2"/>
  <c r="J644" i="1"/>
  <c r="G476" i="1"/>
  <c r="H623" i="1" s="1"/>
  <c r="J623" i="1" s="1"/>
  <c r="F476" i="1"/>
  <c r="H622" i="1" s="1"/>
  <c r="J622" i="1" s="1"/>
  <c r="L401" i="1"/>
  <c r="C139" i="2" s="1"/>
  <c r="J634" i="1"/>
  <c r="H661" i="1"/>
  <c r="G661" i="1"/>
  <c r="L362" i="1"/>
  <c r="G635" i="1" s="1"/>
  <c r="J635" i="1" s="1"/>
  <c r="D145" i="2"/>
  <c r="C16" i="10"/>
  <c r="J647" i="1"/>
  <c r="D14" i="13"/>
  <c r="C14" i="13" s="1"/>
  <c r="C123" i="2"/>
  <c r="C121" i="2"/>
  <c r="D12" i="13"/>
  <c r="C12" i="13" s="1"/>
  <c r="E8" i="13"/>
  <c r="C8" i="13" s="1"/>
  <c r="C119" i="2"/>
  <c r="C13" i="10"/>
  <c r="D5" i="13"/>
  <c r="C5" i="13" s="1"/>
  <c r="L211" i="1"/>
  <c r="C10" i="10"/>
  <c r="C109" i="2"/>
  <c r="C115" i="2" s="1"/>
  <c r="C81" i="2"/>
  <c r="C62" i="2"/>
  <c r="C63" i="2" s="1"/>
  <c r="J617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I192" i="1"/>
  <c r="E91" i="2"/>
  <c r="E104" i="2" s="1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G18" i="2" s="1"/>
  <c r="J19" i="1"/>
  <c r="G621" i="1" s="1"/>
  <c r="F545" i="1"/>
  <c r="H434" i="1"/>
  <c r="D103" i="2"/>
  <c r="D104" i="2" s="1"/>
  <c r="I140" i="1"/>
  <c r="A22" i="12"/>
  <c r="G50" i="2"/>
  <c r="G51" i="2" s="1"/>
  <c r="J652" i="1"/>
  <c r="G571" i="1"/>
  <c r="I434" i="1"/>
  <c r="G434" i="1"/>
  <c r="C27" i="10"/>
  <c r="I661" i="1" l="1"/>
  <c r="L545" i="1"/>
  <c r="E145" i="2"/>
  <c r="F660" i="1"/>
  <c r="I660" i="1" s="1"/>
  <c r="E51" i="2"/>
  <c r="C25" i="13"/>
  <c r="H33" i="13"/>
  <c r="H664" i="1"/>
  <c r="H667" i="1" s="1"/>
  <c r="I193" i="1"/>
  <c r="G630" i="1" s="1"/>
  <c r="J630" i="1" s="1"/>
  <c r="H648" i="1"/>
  <c r="J648" i="1" s="1"/>
  <c r="C144" i="2"/>
  <c r="F664" i="1"/>
  <c r="F672" i="1" s="1"/>
  <c r="C4" i="10" s="1"/>
  <c r="I461" i="1"/>
  <c r="H642" i="1" s="1"/>
  <c r="J642" i="1" s="1"/>
  <c r="H646" i="1"/>
  <c r="J646" i="1" s="1"/>
  <c r="G664" i="1"/>
  <c r="D31" i="13"/>
  <c r="C31" i="13" s="1"/>
  <c r="C128" i="2"/>
  <c r="C145" i="2" s="1"/>
  <c r="E33" i="13"/>
  <c r="D35" i="13" s="1"/>
  <c r="C28" i="10"/>
  <c r="D22" i="10" s="1"/>
  <c r="L257" i="1"/>
  <c r="L271" i="1" s="1"/>
  <c r="G632" i="1" s="1"/>
  <c r="J632" i="1" s="1"/>
  <c r="C104" i="2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I664" i="1" l="1"/>
  <c r="I672" i="1" s="1"/>
  <c r="C7" i="10" s="1"/>
  <c r="H672" i="1"/>
  <c r="C6" i="10" s="1"/>
  <c r="F667" i="1"/>
  <c r="G667" i="1"/>
  <c r="G672" i="1"/>
  <c r="C5" i="10" s="1"/>
  <c r="D33" i="13"/>
  <c r="D36" i="13" s="1"/>
  <c r="D15" i="10"/>
  <c r="D12" i="10"/>
  <c r="D20" i="10"/>
  <c r="D18" i="10"/>
  <c r="D19" i="10"/>
  <c r="D25" i="10"/>
  <c r="D27" i="10"/>
  <c r="D17" i="10"/>
  <c r="D24" i="10"/>
  <c r="D10" i="10"/>
  <c r="D26" i="10"/>
  <c r="C30" i="10"/>
  <c r="D16" i="10"/>
  <c r="D23" i="10"/>
  <c r="D13" i="10"/>
  <c r="D11" i="10"/>
  <c r="D21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<sst xmlns="http://schemas.openxmlformats.org/spreadsheetml/2006/main" count="3957" uniqueCount="913">
  <si>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</si>
  <si>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</si>
  <si>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</si>
  <si>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</si>
  <si>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</si>
  <si>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</si>
  <si>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</si>
  <si>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</si>
  <si>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</si>
  <si>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</si>
  <si>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</si>
  <si>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</si>
  <si>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</si>
  <si>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</si>
  <si>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</si>
  <si>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</si>
  <si>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</si>
  <si>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</si>
  <si>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</si>
  <si>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</si>
  <si>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</si>
  <si>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</si>
  <si>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</si>
  <si>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</si>
  <si>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</si>
  <si>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</si>
  <si>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</si>
  <si>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</si>
  <si>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</si>
  <si>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</si>
  <si>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</si>
  <si>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</si>
  <si>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</si>
  <si>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</si>
  <si>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</si>
  <si>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</si>
  <si>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</si>
  <si>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</si>
  <si>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</si>
  <si>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</si>
  <si>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</si>
  <si>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</si>
  <si>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</si>
  <si>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</si>
  <si>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</si>
  <si>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</si>
  <si>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</si>
  <si>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</si>
  <si>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</si>
  <si>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</si>
  <si>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</si>
  <si>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</si>
  <si>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</si>
  <si>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</si>
  <si>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</si>
  <si>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</si>
  <si>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</si>
  <si>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</si>
  <si>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</si>
  <si>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</si>
  <si>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</si>
  <si>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</si>
  <si>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</si>
  <si>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</si>
  <si>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</si>
  <si>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</si>
  <si>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</si>
  <si>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</si>
  <si>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</si>
  <si>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</si>
  <si>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</si>
  <si>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</si>
  <si>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</si>
  <si>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</si>
  <si>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</si>
  <si>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</si>
  <si>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</si>
  <si>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</si>
  <si>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</si>
  <si>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</si>
  <si>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</si>
  <si>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</si>
  <si>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</si>
  <si>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</si>
  <si>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</si>
  <si>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</si>
  <si>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</si>
  <si>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</si>
  <si>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</si>
  <si>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</si>
  <si>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</si>
  <si>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</si>
  <si>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</si>
  <si>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</si>
  <si>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</si>
  <si>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</si>
  <si>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</si>
  <si>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</si>
  <si>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</si>
  <si>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</si>
  <si>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</si>
  <si>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</si>
  <si>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</si>
  <si>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</si>
  <si>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</si>
  <si>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</si>
  <si>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</si>
  <si>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</si>
  <si>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</si>
  <si>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</si>
  <si>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</si>
  <si>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</si>
  <si>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</si>
  <si>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</si>
  <si>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</si>
  <si>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</si>
  <si>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</si>
  <si>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</si>
  <si>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</si>
  <si>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</si>
  <si>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</si>
  <si>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</si>
  <si>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</si>
  <si>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</si>
  <si>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</si>
  <si>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</si>
  <si>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</si>
  <si>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</si>
  <si>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</si>
  <si>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</si>
  <si>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</si>
  <si>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</si>
  <si>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</si>
  <si>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</si>
  <si>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</si>
  <si>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</si>
  <si>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</si>
  <si>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</si>
  <si>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</si>
  <si>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</si>
  <si>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</si>
  <si>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</si>
  <si>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</si>
  <si>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</si>
  <si>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</si>
  <si>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</si>
  <si>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</si>
  <si>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</si>
  <si>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</si>
  <si>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</si>
  <si>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</si>
  <si>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</si>
  <si>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</si>
  <si>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</si>
  <si>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</si>
  <si>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</si>
  <si>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</si>
  <si>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</si>
  <si>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</si>
  <si>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</si>
  <si>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</si>
  <si>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</si>
  <si>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</si>
  <si>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</si>
  <si>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</si>
  <si>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</si>
  <si>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</si>
  <si>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</si>
  <si>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</si>
  <si>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</si>
  <si>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</si>
  <si>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</si>
  <si>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</si>
  <si>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</si>
  <si>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</si>
  <si>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</si>
  <si>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</si>
  <si>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</si>
  <si>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</si>
  <si>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</si>
  <si>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</si>
  <si>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</si>
  <si>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</si>
  <si>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</si>
  <si>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</si>
  <si>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</si>
  <si>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</si>
  <si>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</si>
  <si>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</si>
  <si>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</si>
  <si>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</si>
  <si>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</si>
  <si>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</si>
  <si>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</si>
  <si>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</si>
  <si>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</si>
  <si>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</si>
  <si>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</si>
  <si>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</si>
  <si>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</si>
  <si>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</si>
  <si>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</si>
  <si>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</si>
  <si>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</si>
  <si>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</si>
  <si>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</si>
  <si>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</si>
  <si>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</si>
  <si>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</si>
  <si>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</si>
  <si>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</si>
  <si>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</si>
  <si>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</si>
  <si>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</si>
  <si>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</si>
  <si>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</si>
  <si>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</si>
  <si>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</si>
  <si>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</si>
  <si>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</si>
  <si>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</si>
  <si>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</si>
  <si>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</si>
  <si>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</si>
  <si>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</si>
  <si>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</si>
  <si>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</si>
  <si>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</si>
  <si>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</si>
  <si>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</si>
  <si>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</si>
  <si>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</si>
  <si>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</si>
  <si>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</si>
  <si>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</si>
  <si>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</si>
  <si>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</si>
  <si>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</si>
  <si>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</si>
  <si>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</si>
  <si>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</si>
  <si>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</si>
  <si>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</si>
  <si>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</si>
  <si>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</si>
  <si>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</si>
  <si>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</si>
  <si>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</si>
  <si>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</si>
  <si>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</si>
  <si>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</si>
  <si>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</si>
  <si>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</si>
  <si>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</si>
  <si>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</si>
  <si>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</si>
  <si>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</si>
  <si>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</si>
  <si>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</si>
  <si>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</si>
  <si>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</si>
  <si>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</si>
  <si>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</si>
  <si>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</si>
  <si>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</si>
  <si>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</si>
  <si>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</si>
  <si>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</si>
  <si>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</si>
  <si>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</si>
  <si>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</si>
  <si>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</si>
  <si>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</si>
  <si>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</si>
  <si>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</si>
  <si>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</si>
  <si>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</si>
  <si>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</si>
  <si>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</si>
  <si>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</si>
  <si>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</si>
  <si>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</si>
  <si>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</si>
  <si>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</si>
  <si>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</si>
  <si>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</si>
  <si>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</si>
  <si>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</si>
  <si>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</si>
  <si>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</si>
  <si>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</si>
  <si>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</si>
  <si>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</si>
  <si>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</si>
  <si>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</si>
  <si>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</si>
  <si>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</si>
  <si>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</si>
  <si>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</si>
  <si>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</si>
  <si>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</si>
  <si>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</si>
  <si>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</si>
  <si>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</si>
  <si>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</si>
  <si>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</si>
  <si>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</si>
  <si>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</si>
  <si>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</si>
  <si>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</si>
  <si>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</si>
  <si>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</si>
  <si>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</si>
  <si>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</si>
  <si>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</si>
  <si>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</si>
  <si>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</si>
  <si>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</si>
  <si>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</si>
  <si>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</si>
  <si>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</si>
  <si>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</si>
  <si>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</si>
  <si>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</si>
  <si>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</si>
  <si>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</si>
  <si>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</si>
  <si>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</si>
  <si>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</si>
  <si>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</si>
  <si>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</si>
  <si>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</si>
  <si>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</si>
  <si>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</si>
  <si>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</si>
  <si>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</si>
  <si>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</si>
  <si>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</si>
  <si>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</si>
  <si>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</si>
  <si>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</si>
  <si>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</si>
  <si>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</si>
  <si>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</si>
  <si>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</si>
  <si>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</si>
  <si>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</si>
  <si>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</si>
  <si>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</si>
  <si>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</si>
  <si>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</si>
  <si>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</si>
  <si>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</si>
  <si>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</si>
  <si>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</si>
  <si>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</si>
  <si>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</si>
  <si>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</si>
  <si>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</si>
  <si>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</si>
  <si>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</si>
  <si>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</si>
  <si>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</si>
  <si>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</si>
  <si>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</si>
  <si>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</si>
  <si>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</si>
  <si>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</si>
  <si>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</si>
  <si>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</si>
  <si>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</si>
  <si>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</si>
  <si>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</si>
  <si>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</si>
  <si>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</si>
  <si>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</si>
  <si>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</si>
  <si>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</si>
  <si>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</si>
  <si>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</si>
  <si>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</si>
  <si>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</si>
  <si>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</si>
  <si>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</si>
  <si>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</si>
  <si>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</si>
  <si>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</si>
  <si>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</si>
  <si>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</si>
  <si>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</si>
  <si>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</si>
  <si>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</si>
  <si>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</si>
  <si>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</si>
  <si>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</si>
  <si>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</si>
  <si>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</si>
  <si>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</si>
  <si>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</si>
  <si>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</si>
  <si>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</si>
  <si>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</si>
  <si>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</si>
  <si>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</si>
  <si>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</si>
  <si>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</si>
  <si>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</si>
  <si>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</si>
  <si>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</si>
  <si>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</si>
  <si>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</si>
  <si>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</si>
  <si>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</si>
  <si>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</si>
  <si>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</si>
  <si>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</si>
  <si>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</si>
  <si>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</si>
  <si>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</si>
  <si>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</si>
  <si>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</si>
  <si>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</si>
  <si>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</si>
  <si>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</si>
  <si>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</si>
  <si>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</si>
  <si>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</si>
  <si>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</si>
  <si>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</si>
  <si>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</si>
  <si>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</si>
  <si>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</si>
  <si>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</si>
  <si>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</si>
  <si>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</si>
  <si>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</si>
  <si>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</si>
  <si>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</si>
  <si>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</si>
  <si>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</si>
  <si>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</si>
  <si>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</si>
  <si>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</si>
  <si>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</si>
  <si>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</si>
  <si>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</si>
  <si>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</si>
  <si>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</si>
  <si>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</si>
  <si>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</si>
  <si>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</si>
  <si>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</si>
  <si>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</si>
  <si>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</si>
  <si>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</si>
  <si>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</si>
  <si>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</si>
  <si>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</si>
  <si>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</si>
  <si>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</si>
  <si>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</si>
  <si>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</si>
  <si>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</si>
  <si>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</si>
  <si>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</si>
  <si>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</si>
  <si>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</si>
  <si>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</si>
  <si>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</si>
  <si>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</si>
  <si>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</si>
  <si>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</si>
  <si>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</si>
  <si>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</si>
  <si>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</si>
  <si>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</si>
  <si>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</si>
  <si>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</si>
  <si>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</si>
  <si>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</si>
  <si>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</si>
  <si>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</si>
  <si>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</si>
  <si>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</si>
  <si>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</si>
  <si>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</si>
  <si>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</si>
  <si>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</si>
  <si>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</si>
  <si>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</si>
  <si>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</si>
  <si>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</si>
  <si>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</si>
  <si>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</si>
  <si>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</si>
  <si>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</si>
  <si>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</si>
  <si>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</si>
  <si>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</si>
  <si>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</si>
  <si>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</si>
  <si>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</si>
  <si>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</si>
  <si>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</si>
  <si>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</si>
  <si>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</si>
  <si>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</si>
  <si>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</si>
  <si>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</si>
  <si>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</si>
  <si>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</si>
  <si>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</si>
  <si>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</si>
  <si>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</si>
  <si>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</si>
  <si>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</si>
  <si>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</si>
  <si>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</si>
  <si>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</si>
  <si>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</si>
  <si>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</si>
  <si>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</si>
  <si>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</si>
  <si>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</si>
  <si>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</si>
  <si>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</si>
  <si>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</si>
  <si>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</si>
  <si>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</si>
  <si>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</si>
  <si>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</si>
  <si>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</si>
  <si>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</si>
  <si>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</si>
  <si>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</si>
  <si>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</si>
  <si>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</si>
  <si>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</si>
  <si>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</si>
  <si>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</si>
  <si>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</si>
  <si>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</si>
  <si>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</si>
  <si>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</si>
  <si>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</si>
  <si>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</si>
  <si>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</si>
  <si>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</si>
  <si>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</si>
  <si>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</si>
  <si>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</si>
  <si>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</si>
  <si>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</si>
  <si>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</si>
  <si>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</si>
  <si>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</si>
  <si>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</si>
  <si>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</si>
  <si>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</si>
  <si>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</si>
  <si>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</si>
  <si>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</si>
  <si>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</si>
  <si>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</si>
  <si>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</si>
  <si>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</si>
  <si>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</si>
  <si>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</si>
  <si>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</si>
  <si>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</si>
  <si>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</si>
  <si>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</si>
  <si>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</si>
  <si>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</si>
  <si>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</si>
  <si>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</si>
  <si>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</si>
  <si>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</si>
  <si>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</si>
  <si>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</si>
  <si>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</si>
  <si>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</si>
  <si>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</si>
  <si>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</si>
  <si>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</si>
  <si>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</si>
  <si>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</si>
  <si>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</si>
  <si>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</si>
  <si>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</si>
  <si>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</si>
  <si>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</si>
  <si>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</si>
  <si>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</si>
  <si>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</si>
  <si>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</si>
  <si>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</si>
  <si>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</si>
  <si>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</si>
  <si>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</si>
  <si>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</si>
  <si>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</si>
  <si>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</si>
  <si>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</si>
  <si>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</si>
  <si>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</si>
  <si>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</si>
  <si>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</si>
  <si>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</si>
  <si>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</si>
  <si>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</si>
  <si>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</si>
  <si>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</si>
  <si>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</si>
  <si>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</si>
  <si>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</si>
  <si>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</si>
  <si>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</si>
  <si>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</si>
  <si>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</si>
  <si>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</si>
  <si>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</si>
  <si>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</si>
  <si>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</si>
  <si>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</si>
  <si>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</si>
  <si>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</si>
  <si>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</si>
  <si>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</si>
  <si>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</si>
  <si>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</si>
  <si>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</si>
  <si>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</si>
  <si>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</si>
  <si>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</si>
  <si>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</si>
  <si>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</si>
  <si>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</si>
  <si>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</si>
  <si>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</si>
  <si>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</si>
  <si>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</si>
  <si>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</si>
  <si>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</si>
  <si>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</si>
  <si>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</si>
  <si>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</si>
  <si>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</si>
  <si>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</si>
  <si>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</si>
  <si>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</si>
  <si>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</si>
  <si>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</si>
  <si>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</si>
  <si>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</si>
  <si>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</si>
  <si>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</si>
  <si>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</si>
  <si>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</si>
  <si>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</si>
  <si>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</si>
  <si>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</si>
  <si>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</si>
  <si>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</si>
  <si>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</si>
  <si>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</si>
  <si>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</si>
  <si>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</si>
  <si>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</si>
  <si>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</si>
  <si>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</si>
  <si>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</si>
  <si>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</si>
  <si>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</si>
  <si>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</si>
  <si>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</si>
  <si>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</si>
  <si>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</si>
  <si>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</si>
  <si>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</si>
  <si>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</si>
  <si>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</si>
  <si>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</si>
  <si>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</si>
  <si>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</si>
  <si>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</si>
  <si>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</si>
  <si>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</si>
  <si>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</si>
  <si>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</si>
  <si>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</si>
  <si>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</si>
  <si>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</si>
  <si>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</si>
  <si>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</si>
  <si>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</si>
  <si>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</si>
  <si>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</si>
  <si>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</si>
  <si>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</si>
  <si>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</si>
  <si>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</si>
  <si>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</si>
  <si>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</si>
  <si>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</si>
  <si>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</si>
  <si>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</si>
  <si>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</si>
  <si>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</si>
  <si>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</si>
  <si>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</si>
  <si>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</si>
  <si>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</si>
  <si>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</si>
  <si>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</si>
  <si>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</si>
  <si>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</si>
  <si>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</si>
  <si>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</si>
  <si>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</si>
  <si>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</si>
  <si>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</si>
  <si>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</si>
  <si>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</si>
  <si>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</si>
  <si>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</si>
  <si>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</si>
  <si>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</si>
  <si>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</si>
  <si>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</si>
  <si>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</si>
  <si>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</si>
  <si>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</si>
  <si>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</si>
  <si>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</si>
  <si>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</si>
  <si>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</si>
  <si>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</si>
  <si>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</si>
  <si>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</si>
  <si>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</si>
  <si>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</si>
  <si>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</si>
  <si>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</si>
  <si>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</si>
  <si>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</si>
  <si>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</si>
  <si>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</si>
  <si>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</si>
  <si>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</si>
  <si>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</si>
  <si>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</si>
  <si>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</si>
  <si>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</si>
  <si>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</si>
  <si>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</si>
  <si>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</si>
  <si>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</si>
  <si>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</si>
  <si>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</si>
  <si>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</si>
  <si>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</si>
  <si>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</si>
  <si>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</si>
  <si>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</si>
  <si>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</si>
  <si>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</si>
  <si>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</si>
  <si>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</si>
  <si>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</si>
  <si>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</si>
  <si>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</si>
  <si>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</si>
  <si>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</si>
  <si>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</si>
  <si>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</si>
  <si>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</si>
  <si>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</si>
  <si>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</si>
  <si>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</si>
  <si>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</si>
  <si>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</si>
  <si>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</si>
  <si>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</si>
  <si>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</si>
  <si>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</si>
  <si>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</si>
  <si>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</si>
  <si>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</si>
  <si>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</si>
  <si>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</si>
  <si>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</si>
  <si>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</si>
  <si>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</si>
  <si>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</si>
  <si>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</si>
  <si>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</si>
  <si>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</si>
  <si>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</si>
  <si>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</si>
  <si>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</si>
  <si>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</si>
  <si>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</si>
  <si>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</si>
  <si>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</si>
  <si>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</si>
  <si>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</si>
  <si>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</si>
  <si>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</si>
  <si>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</si>
  <si>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</si>
  <si>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</si>
  <si>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</si>
  <si>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</si>
  <si>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</si>
  <si>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</si>
  <si>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</si>
  <si>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</si>
  <si>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</si>
  <si>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</si>
  <si>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</si>
  <si>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</si>
  <si>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</si>
  <si>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</si>
  <si>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</si>
  <si>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</si>
  <si>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</si>
  <si>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</si>
  <si>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</si>
  <si>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</si>
  <si>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</si>
  <si>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</si>
  <si>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</si>
  <si>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</si>
  <si>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</si>
  <si>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</si>
  <si>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</si>
  <si>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</si>
  <si>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</si>
  <si>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</si>
  <si>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</si>
  <si>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</si>
  <si>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</si>
  <si>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</si>
  <si>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</si>
  <si>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</si>
  <si>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</si>
  <si>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</si>
  <si>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</si>
  <si>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</si>
  <si>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</si>
  <si>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</si>
  <si>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</si>
  <si>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</si>
  <si>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</si>
  <si>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</si>
  <si>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</si>
  <si>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</si>
  <si>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</si>
  <si>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</si>
  <si>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</si>
  <si>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</si>
  <si>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</si>
  <si>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</si>
  <si>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</si>
  <si>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</si>
  <si>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</si>
  <si>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</si>
  <si>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</si>
  <si>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</si>
  <si>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</si>
  <si>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</si>
  <si>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</si>
  <si>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</si>
  <si>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</si>
  <si>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</si>
  <si>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</si>
  <si>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</si>
  <si>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</si>
  <si>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</si>
  <si>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</si>
  <si>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</si>
  <si>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</si>
  <si>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</si>
  <si>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</si>
  <si>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</si>
  <si>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</si>
  <si>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</si>
  <si>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</si>
  <si>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</si>
  <si>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</si>
  <si>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</si>
  <si>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</si>
  <si>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</si>
  <si>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</si>
  <si>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</si>
  <si>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</si>
  <si>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</si>
  <si>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</si>
  <si>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</si>
  <si>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</si>
  <si>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</si>
  <si>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</si>
  <si>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</si>
  <si>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</si>
  <si>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</si>
  <si>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</si>
  <si>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</si>
  <si>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</si>
  <si>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</si>
  <si>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</si>
  <si>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</si>
  <si>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Ashland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</si>
</sst>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="120" zoomScaleNormal="12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23</v>
      </c>
      <c r="C2" s="21">
        <v>23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318095.55</v>
      </c>
      <c r="G9" s="18"/>
      <c r="H9" s="18"/>
      <c r="I9" s="18"/>
      <c r="J9" s="67">
        <f>SUM(I439)</f>
        <v>264819.65999999997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2069219.11</v>
      </c>
      <c r="G12" s="18">
        <v>796846.89</v>
      </c>
      <c r="H12" s="18">
        <v>1125953.27</v>
      </c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14127.56</v>
      </c>
      <c r="G13" s="18">
        <v>3959.18</v>
      </c>
      <c r="H13" s="18">
        <v>37003.64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-1216.8699999999999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2401442.2200000002</v>
      </c>
      <c r="G19" s="41">
        <f>SUM(G9:G18)</f>
        <v>799589.20000000007</v>
      </c>
      <c r="H19" s="41">
        <f>SUM(H9:H18)</f>
        <v>1162956.9099999999</v>
      </c>
      <c r="I19" s="41">
        <f>SUM(I9:I18)</f>
        <v>0</v>
      </c>
      <c r="J19" s="41">
        <f>SUM(J9:J18)</f>
        <v>264819.65999999997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2052971.61</v>
      </c>
      <c r="G22" s="18">
        <v>781290.92</v>
      </c>
      <c r="H22" s="18">
        <v>1157756.74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49275.11</v>
      </c>
      <c r="G24" s="18">
        <v>11152.1</v>
      </c>
      <c r="H24" s="18">
        <v>1055.5899999999999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330.5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11481.34</v>
      </c>
      <c r="G30" s="18">
        <v>-669.57</v>
      </c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2114058.56</v>
      </c>
      <c r="G32" s="41">
        <f>SUM(G22:G31)</f>
        <v>791773.45000000007</v>
      </c>
      <c r="H32" s="41">
        <f>SUM(H22:H31)</f>
        <v>1158812.33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>
        <v>7815.75</v>
      </c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15000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4144.58</v>
      </c>
      <c r="I48" s="18"/>
      <c r="J48" s="13">
        <f>SUM(I459)</f>
        <v>264819.65999999997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170124.54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102259.12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287383.66000000003</v>
      </c>
      <c r="G51" s="41">
        <f>SUM(G35:G50)</f>
        <v>7815.75</v>
      </c>
      <c r="H51" s="41">
        <f>SUM(H35:H50)</f>
        <v>4144.58</v>
      </c>
      <c r="I51" s="41">
        <f>SUM(I35:I50)</f>
        <v>0</v>
      </c>
      <c r="J51" s="41">
        <f>SUM(J35:J50)</f>
        <v>264819.65999999997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2401442.2200000002</v>
      </c>
      <c r="G52" s="41">
        <f>G51+G32</f>
        <v>799589.20000000007</v>
      </c>
      <c r="H52" s="41">
        <f>H51+H32</f>
        <v>1162956.9100000001</v>
      </c>
      <c r="I52" s="41">
        <f>I51+I32</f>
        <v>0</v>
      </c>
      <c r="J52" s="41">
        <f>J51+J32</f>
        <v>264819.65999999997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2148762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2148762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17402.7</v>
      </c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17402.7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605.37</v>
      </c>
      <c r="G96" s="18"/>
      <c r="H96" s="18"/>
      <c r="I96" s="18"/>
      <c r="J96" s="18">
        <v>1500.82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23203.69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1075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3184.68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200</v>
      </c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205.93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2086.2999999999997</v>
      </c>
      <c r="G111" s="41">
        <f>SUM(G96:G110)</f>
        <v>23203.69</v>
      </c>
      <c r="H111" s="41">
        <f>SUM(H96:H110)</f>
        <v>3184.68</v>
      </c>
      <c r="I111" s="41">
        <f>SUM(I96:I110)</f>
        <v>0</v>
      </c>
      <c r="J111" s="41">
        <f>SUM(J96:J110)</f>
        <v>1500.82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2168251</v>
      </c>
      <c r="G112" s="41">
        <f>G60+G111</f>
        <v>23203.69</v>
      </c>
      <c r="H112" s="41">
        <f>H60+H79+H94+H111</f>
        <v>3184.68</v>
      </c>
      <c r="I112" s="41">
        <f>I60+I111</f>
        <v>0</v>
      </c>
      <c r="J112" s="41">
        <f>J60+J111</f>
        <v>1500.82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544898.31000000006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347431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1393.54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893722.85000000009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1330.58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1330.58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893722.85000000009</v>
      </c>
      <c r="G140" s="41">
        <f>G121+SUM(G136:G137)</f>
        <v>1330.58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81803.429999999993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24868.98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63075.77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31470.799999999999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31470.799999999999</v>
      </c>
      <c r="G162" s="41">
        <f>SUM(G150:G161)</f>
        <v>63075.77</v>
      </c>
      <c r="H162" s="41">
        <f>SUM(H150:H161)</f>
        <v>106672.40999999999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332.85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31803.649999999998</v>
      </c>
      <c r="G169" s="41">
        <f>G147+G162+SUM(G163:G168)</f>
        <v>63075.77</v>
      </c>
      <c r="H169" s="41">
        <f>H147+H162+SUM(H163:H168)</f>
        <v>106672.40999999999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20000</v>
      </c>
      <c r="H179" s="18"/>
      <c r="I179" s="18"/>
      <c r="J179" s="18">
        <v>70000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20000</v>
      </c>
      <c r="H183" s="41">
        <f>SUM(H179:H182)</f>
        <v>0</v>
      </c>
      <c r="I183" s="41">
        <f>SUM(I179:I182)</f>
        <v>0</v>
      </c>
      <c r="J183" s="41">
        <f>SUM(J179:J182)</f>
        <v>70000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20000</v>
      </c>
      <c r="H192" s="41">
        <f>+H183+SUM(H188:H191)</f>
        <v>0</v>
      </c>
      <c r="I192" s="41">
        <f>I177+I183+SUM(I188:I191)</f>
        <v>0</v>
      </c>
      <c r="J192" s="41">
        <f>J183</f>
        <v>70000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3093777.5</v>
      </c>
      <c r="G193" s="47">
        <f>G112+G140+G169+G192</f>
        <v>107610.04</v>
      </c>
      <c r="H193" s="47">
        <f>H112+H140+H169+H192</f>
        <v>109857.08999999998</v>
      </c>
      <c r="I193" s="47">
        <f>I112+I140+I169+I192</f>
        <v>0</v>
      </c>
      <c r="J193" s="47">
        <f>J112+J140+J192</f>
        <v>71500.820000000007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792511.21</v>
      </c>
      <c r="G197" s="18">
        <v>431473.21</v>
      </c>
      <c r="H197" s="18">
        <v>9483</v>
      </c>
      <c r="I197" s="18">
        <v>41845.93</v>
      </c>
      <c r="J197" s="18">
        <v>2303.2199999999998</v>
      </c>
      <c r="K197" s="18">
        <v>298.5</v>
      </c>
      <c r="L197" s="19">
        <f>SUM(F197:K197)</f>
        <v>1277915.0699999998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189709.53</v>
      </c>
      <c r="G198" s="18">
        <v>105704.48</v>
      </c>
      <c r="H198" s="18">
        <v>41419.089999999997</v>
      </c>
      <c r="I198" s="18">
        <v>1329.94</v>
      </c>
      <c r="J198" s="18">
        <v>0</v>
      </c>
      <c r="K198" s="18">
        <v>215</v>
      </c>
      <c r="L198" s="19">
        <f>SUM(F198:K198)</f>
        <v>338378.04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27500</v>
      </c>
      <c r="G200" s="18">
        <v>6407.27</v>
      </c>
      <c r="H200" s="18">
        <v>3411</v>
      </c>
      <c r="I200" s="18">
        <v>1810.42</v>
      </c>
      <c r="J200" s="18">
        <v>6306.31</v>
      </c>
      <c r="K200" s="18"/>
      <c r="L200" s="19">
        <f>SUM(F200:K200)</f>
        <v>45435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125880.47</v>
      </c>
      <c r="G202" s="18">
        <v>77915.179999999993</v>
      </c>
      <c r="H202" s="18">
        <v>55580.66</v>
      </c>
      <c r="I202" s="18">
        <v>4773.3100000000004</v>
      </c>
      <c r="J202" s="18"/>
      <c r="K202" s="18">
        <v>385</v>
      </c>
      <c r="L202" s="19">
        <f t="shared" ref="L202:L208" si="0">SUM(F202:K202)</f>
        <v>264534.62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73777.78</v>
      </c>
      <c r="G203" s="18">
        <v>52458.25</v>
      </c>
      <c r="H203" s="18">
        <v>27448.63</v>
      </c>
      <c r="I203" s="18">
        <v>14236.38</v>
      </c>
      <c r="J203" s="18">
        <v>21046.5</v>
      </c>
      <c r="K203" s="18">
        <v>20</v>
      </c>
      <c r="L203" s="19">
        <f t="shared" si="0"/>
        <v>188987.54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3396</v>
      </c>
      <c r="G204" s="18">
        <v>262</v>
      </c>
      <c r="H204" s="18">
        <v>103487.36</v>
      </c>
      <c r="I204" s="18">
        <v>1637.3</v>
      </c>
      <c r="J204" s="18"/>
      <c r="K204" s="18">
        <v>3729.46</v>
      </c>
      <c r="L204" s="19">
        <f t="shared" si="0"/>
        <v>112512.12000000001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152986.68</v>
      </c>
      <c r="G205" s="18">
        <v>58301.72</v>
      </c>
      <c r="H205" s="18">
        <v>8869.67</v>
      </c>
      <c r="I205" s="18">
        <v>1954.8</v>
      </c>
      <c r="J205" s="18"/>
      <c r="K205" s="18"/>
      <c r="L205" s="19">
        <f t="shared" si="0"/>
        <v>222112.87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107597.56</v>
      </c>
      <c r="G207" s="18">
        <v>57942.42</v>
      </c>
      <c r="H207" s="18">
        <v>92550.97</v>
      </c>
      <c r="I207" s="18">
        <v>81170.990000000005</v>
      </c>
      <c r="J207" s="18">
        <v>85143.97</v>
      </c>
      <c r="K207" s="18"/>
      <c r="L207" s="19">
        <f t="shared" si="0"/>
        <v>424405.91000000003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62186.22</v>
      </c>
      <c r="I208" s="18"/>
      <c r="J208" s="18"/>
      <c r="K208" s="18"/>
      <c r="L208" s="19">
        <f t="shared" si="0"/>
        <v>62186.22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1473359.23</v>
      </c>
      <c r="G211" s="41">
        <f t="shared" si="1"/>
        <v>790464.53000000014</v>
      </c>
      <c r="H211" s="41">
        <f t="shared" si="1"/>
        <v>404436.6</v>
      </c>
      <c r="I211" s="41">
        <f t="shared" si="1"/>
        <v>148759.07</v>
      </c>
      <c r="J211" s="41">
        <f t="shared" si="1"/>
        <v>114800</v>
      </c>
      <c r="K211" s="41">
        <f t="shared" si="1"/>
        <v>4647.96</v>
      </c>
      <c r="L211" s="41">
        <f t="shared" si="1"/>
        <v>2936467.3900000006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1473359.23</v>
      </c>
      <c r="G257" s="41">
        <f t="shared" si="8"/>
        <v>790464.53000000014</v>
      </c>
      <c r="H257" s="41">
        <f t="shared" si="8"/>
        <v>404436.6</v>
      </c>
      <c r="I257" s="41">
        <f t="shared" si="8"/>
        <v>148759.07</v>
      </c>
      <c r="J257" s="41">
        <f t="shared" si="8"/>
        <v>114800</v>
      </c>
      <c r="K257" s="41">
        <f t="shared" si="8"/>
        <v>4647.96</v>
      </c>
      <c r="L257" s="41">
        <f t="shared" si="8"/>
        <v>2936467.3900000006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20000</v>
      </c>
      <c r="L263" s="19">
        <f>SUM(F263:K263)</f>
        <v>20000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70000</v>
      </c>
      <c r="L266" s="19">
        <f t="shared" si="9"/>
        <v>70000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90000</v>
      </c>
      <c r="L270" s="41">
        <f t="shared" si="9"/>
        <v>90000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1473359.23</v>
      </c>
      <c r="G271" s="42">
        <f t="shared" si="11"/>
        <v>790464.53000000014</v>
      </c>
      <c r="H271" s="42">
        <f t="shared" si="11"/>
        <v>404436.6</v>
      </c>
      <c r="I271" s="42">
        <f t="shared" si="11"/>
        <v>148759.07</v>
      </c>
      <c r="J271" s="42">
        <f t="shared" si="11"/>
        <v>114800</v>
      </c>
      <c r="K271" s="42">
        <f t="shared" si="11"/>
        <v>94647.96</v>
      </c>
      <c r="L271" s="42">
        <f t="shared" si="11"/>
        <v>3026467.3900000006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64466</v>
      </c>
      <c r="G276" s="18">
        <v>17472.11</v>
      </c>
      <c r="H276" s="18">
        <v>900</v>
      </c>
      <c r="I276" s="18">
        <v>857.5</v>
      </c>
      <c r="J276" s="18">
        <v>4639</v>
      </c>
      <c r="K276" s="18"/>
      <c r="L276" s="19">
        <f>SUM(F276:K276)</f>
        <v>88334.61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>
        <v>86.71</v>
      </c>
      <c r="J281" s="18"/>
      <c r="K281" s="18"/>
      <c r="L281" s="19">
        <f t="shared" ref="L281:L287" si="12">SUM(F281:K281)</f>
        <v>86.71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12400</v>
      </c>
      <c r="G282" s="18">
        <v>2967.35</v>
      </c>
      <c r="H282" s="18"/>
      <c r="I282" s="18">
        <v>1766.12</v>
      </c>
      <c r="J282" s="18">
        <v>4612.88</v>
      </c>
      <c r="K282" s="18"/>
      <c r="L282" s="19">
        <f t="shared" si="12"/>
        <v>21746.350000000002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>
        <v>2371.62</v>
      </c>
      <c r="L283" s="19">
        <f t="shared" si="12"/>
        <v>2371.62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76866</v>
      </c>
      <c r="G290" s="42">
        <f t="shared" si="13"/>
        <v>20439.46</v>
      </c>
      <c r="H290" s="42">
        <f t="shared" si="13"/>
        <v>900</v>
      </c>
      <c r="I290" s="42">
        <f t="shared" si="13"/>
        <v>2710.33</v>
      </c>
      <c r="J290" s="42">
        <f t="shared" si="13"/>
        <v>9251.880000000001</v>
      </c>
      <c r="K290" s="42">
        <f t="shared" si="13"/>
        <v>2371.62</v>
      </c>
      <c r="L290" s="41">
        <f t="shared" si="13"/>
        <v>112539.29000000001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76866</v>
      </c>
      <c r="G338" s="41">
        <f t="shared" si="20"/>
        <v>20439.46</v>
      </c>
      <c r="H338" s="41">
        <f t="shared" si="20"/>
        <v>900</v>
      </c>
      <c r="I338" s="41">
        <f t="shared" si="20"/>
        <v>2710.33</v>
      </c>
      <c r="J338" s="41">
        <f t="shared" si="20"/>
        <v>9251.880000000001</v>
      </c>
      <c r="K338" s="41">
        <f t="shared" si="20"/>
        <v>2371.62</v>
      </c>
      <c r="L338" s="41">
        <f t="shared" si="20"/>
        <v>112539.29000000001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76866</v>
      </c>
      <c r="G352" s="41">
        <f>G338</f>
        <v>20439.46</v>
      </c>
      <c r="H352" s="41">
        <f>H338</f>
        <v>900</v>
      </c>
      <c r="I352" s="41">
        <f>I338</f>
        <v>2710.33</v>
      </c>
      <c r="J352" s="41">
        <f>J338</f>
        <v>9251.880000000001</v>
      </c>
      <c r="K352" s="47">
        <f>K338+K351</f>
        <v>2371.62</v>
      </c>
      <c r="L352" s="41">
        <f>L338+L351</f>
        <v>112539.29000000001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>
        <v>107712</v>
      </c>
      <c r="I358" s="18">
        <v>595</v>
      </c>
      <c r="J358" s="18"/>
      <c r="K358" s="18">
        <v>12</v>
      </c>
      <c r="L358" s="13">
        <f>SUM(F358:K358)</f>
        <v>108319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107712</v>
      </c>
      <c r="I362" s="47">
        <f t="shared" si="22"/>
        <v>595</v>
      </c>
      <c r="J362" s="47">
        <f t="shared" si="22"/>
        <v>0</v>
      </c>
      <c r="K362" s="47">
        <f t="shared" si="22"/>
        <v>12</v>
      </c>
      <c r="L362" s="47">
        <f t="shared" si="22"/>
        <v>108319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595</v>
      </c>
      <c r="G367" s="18"/>
      <c r="H367" s="18"/>
      <c r="I367" s="56">
        <f>SUM(F367:H367)</f>
        <v>595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595</v>
      </c>
      <c r="G369" s="47">
        <f>SUM(G367:G368)</f>
        <v>0</v>
      </c>
      <c r="H369" s="47">
        <f>SUM(H367:H368)</f>
        <v>0</v>
      </c>
      <c r="I369" s="47">
        <f>SUM(I367:I368)</f>
        <v>595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>
        <v>559.75</v>
      </c>
      <c r="I395" s="18"/>
      <c r="J395" s="24" t="s">
        <v>286</v>
      </c>
      <c r="K395" s="24" t="s">
        <v>286</v>
      </c>
      <c r="L395" s="56">
        <f t="shared" ref="L395:L400" si="26">SUM(F395:K395)</f>
        <v>559.75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50000</v>
      </c>
      <c r="H396" s="18">
        <v>599.83000000000004</v>
      </c>
      <c r="I396" s="18"/>
      <c r="J396" s="24" t="s">
        <v>286</v>
      </c>
      <c r="K396" s="24" t="s">
        <v>286</v>
      </c>
      <c r="L396" s="56">
        <f t="shared" si="26"/>
        <v>50599.83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20000</v>
      </c>
      <c r="H397" s="18">
        <v>341.24</v>
      </c>
      <c r="I397" s="18"/>
      <c r="J397" s="24" t="s">
        <v>286</v>
      </c>
      <c r="K397" s="24" t="s">
        <v>286</v>
      </c>
      <c r="L397" s="56">
        <f t="shared" si="26"/>
        <v>20341.240000000002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70000</v>
      </c>
      <c r="H401" s="47">
        <f>SUM(H395:H400)</f>
        <v>1500.82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71500.820000000007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70000</v>
      </c>
      <c r="H408" s="47">
        <f>H393+H401+H407</f>
        <v>1500.82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71500.820000000007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>
        <v>15046</v>
      </c>
      <c r="L421" s="56">
        <f t="shared" ref="L421:L426" si="29">SUM(F421:K421)</f>
        <v>15046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15046</v>
      </c>
      <c r="L427" s="47">
        <f t="shared" si="30"/>
        <v>15046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15046</v>
      </c>
      <c r="L434" s="47">
        <f t="shared" si="32"/>
        <v>15046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264819.65999999997</v>
      </c>
      <c r="H439" s="18"/>
      <c r="I439" s="56">
        <f t="shared" ref="I439:I445" si="33">SUM(F439:H439)</f>
        <v>264819.65999999997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264819.65999999997</v>
      </c>
      <c r="H446" s="13">
        <f>SUM(H439:H445)</f>
        <v>0</v>
      </c>
      <c r="I446" s="13">
        <f>SUM(I439:I445)</f>
        <v>264819.65999999997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264819.65999999997</v>
      </c>
      <c r="H459" s="18"/>
      <c r="I459" s="56">
        <f t="shared" si="34"/>
        <v>264819.65999999997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264819.65999999997</v>
      </c>
      <c r="H460" s="83">
        <f>SUM(H454:H459)</f>
        <v>0</v>
      </c>
      <c r="I460" s="83">
        <f>SUM(I454:I459)</f>
        <v>264819.65999999997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264819.65999999997</v>
      </c>
      <c r="H461" s="42">
        <f>H452+H460</f>
        <v>0</v>
      </c>
      <c r="I461" s="42">
        <f>I452+I460</f>
        <v>264819.65999999997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220073.55</v>
      </c>
      <c r="G465" s="18">
        <v>8524.7099999999991</v>
      </c>
      <c r="H465" s="18">
        <v>6826.78</v>
      </c>
      <c r="I465" s="18">
        <v>0</v>
      </c>
      <c r="J465" s="18">
        <v>208364.84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3093777.5</v>
      </c>
      <c r="G468" s="18">
        <v>107610.04</v>
      </c>
      <c r="H468" s="18">
        <v>109857.09</v>
      </c>
      <c r="I468" s="18">
        <v>0</v>
      </c>
      <c r="J468" s="18">
        <v>71500.820000000007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3093777.5</v>
      </c>
      <c r="G470" s="53">
        <f>SUM(G468:G469)</f>
        <v>107610.04</v>
      </c>
      <c r="H470" s="53">
        <f>SUM(H468:H469)</f>
        <v>109857.09</v>
      </c>
      <c r="I470" s="53">
        <f>SUM(I468:I469)</f>
        <v>0</v>
      </c>
      <c r="J470" s="53">
        <f>SUM(J468:J469)</f>
        <v>71500.820000000007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3026467.39</v>
      </c>
      <c r="G472" s="18">
        <v>108319</v>
      </c>
      <c r="H472" s="18">
        <v>112539.29</v>
      </c>
      <c r="I472" s="18">
        <v>0</v>
      </c>
      <c r="J472" s="18">
        <v>15046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3026467.39</v>
      </c>
      <c r="G474" s="53">
        <f>SUM(G472:G473)</f>
        <v>108319</v>
      </c>
      <c r="H474" s="53">
        <f>SUM(H472:H473)</f>
        <v>112539.29</v>
      </c>
      <c r="I474" s="53">
        <f>SUM(I472:I473)</f>
        <v>0</v>
      </c>
      <c r="J474" s="53">
        <f>SUM(J472:J473)</f>
        <v>15046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287383.65999999968</v>
      </c>
      <c r="G476" s="53">
        <f>(G465+G470)- G474</f>
        <v>7815.75</v>
      </c>
      <c r="H476" s="53">
        <f>(H465+H470)- H474</f>
        <v>4144.5800000000017</v>
      </c>
      <c r="I476" s="53">
        <f>(I465+I470)- I474</f>
        <v>0</v>
      </c>
      <c r="J476" s="53">
        <f>(J465+J470)- J474</f>
        <v>264819.66000000003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189709.53</v>
      </c>
      <c r="G521" s="18">
        <v>105704.48</v>
      </c>
      <c r="H521" s="18">
        <v>41419.089999999997</v>
      </c>
      <c r="I521" s="18">
        <v>1329.94</v>
      </c>
      <c r="J521" s="18"/>
      <c r="K521" s="18">
        <v>215</v>
      </c>
      <c r="L521" s="88">
        <f>SUM(F521:K521)</f>
        <v>338378.04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189709.53</v>
      </c>
      <c r="G524" s="108">
        <f t="shared" ref="G524:L524" si="36">SUM(G521:G523)</f>
        <v>105704.48</v>
      </c>
      <c r="H524" s="108">
        <f t="shared" si="36"/>
        <v>41419.089999999997</v>
      </c>
      <c r="I524" s="108">
        <f t="shared" si="36"/>
        <v>1329.94</v>
      </c>
      <c r="J524" s="108">
        <f t="shared" si="36"/>
        <v>0</v>
      </c>
      <c r="K524" s="108">
        <f t="shared" si="36"/>
        <v>215</v>
      </c>
      <c r="L524" s="89">
        <f t="shared" si="36"/>
        <v>338378.04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34301.79</v>
      </c>
      <c r="G526" s="18">
        <v>21464.720000000001</v>
      </c>
      <c r="H526" s="18">
        <v>54392.66</v>
      </c>
      <c r="I526" s="18">
        <v>1528.01</v>
      </c>
      <c r="J526" s="18"/>
      <c r="K526" s="18">
        <v>77</v>
      </c>
      <c r="L526" s="88">
        <f>SUM(F526:K526)</f>
        <v>111764.18000000001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34301.79</v>
      </c>
      <c r="G529" s="89">
        <f t="shared" ref="G529:L529" si="37">SUM(G526:G528)</f>
        <v>21464.720000000001</v>
      </c>
      <c r="H529" s="89">
        <f t="shared" si="37"/>
        <v>54392.66</v>
      </c>
      <c r="I529" s="89">
        <f t="shared" si="37"/>
        <v>1528.01</v>
      </c>
      <c r="J529" s="89">
        <f t="shared" si="37"/>
        <v>0</v>
      </c>
      <c r="K529" s="89">
        <f t="shared" si="37"/>
        <v>77</v>
      </c>
      <c r="L529" s="89">
        <f t="shared" si="37"/>
        <v>111764.18000000001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13404.64</v>
      </c>
      <c r="I531" s="18"/>
      <c r="J531" s="18"/>
      <c r="K531" s="18"/>
      <c r="L531" s="88">
        <f>SUM(F531:K531)</f>
        <v>13404.64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13404.64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13404.64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4825.4799999999996</v>
      </c>
      <c r="I541" s="18"/>
      <c r="J541" s="18"/>
      <c r="K541" s="18"/>
      <c r="L541" s="88">
        <f>SUM(F541:K541)</f>
        <v>4825.4799999999996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4825.4799999999996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4825.4799999999996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224011.32</v>
      </c>
      <c r="G545" s="89">
        <f t="shared" ref="G545:L545" si="41">G524+G529+G534+G539+G544</f>
        <v>127169.2</v>
      </c>
      <c r="H545" s="89">
        <f t="shared" si="41"/>
        <v>114041.87</v>
      </c>
      <c r="I545" s="89">
        <f t="shared" si="41"/>
        <v>2857.95</v>
      </c>
      <c r="J545" s="89">
        <f t="shared" si="41"/>
        <v>0</v>
      </c>
      <c r="K545" s="89">
        <f t="shared" si="41"/>
        <v>292</v>
      </c>
      <c r="L545" s="89">
        <f t="shared" si="41"/>
        <v>468372.33999999997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338378.04</v>
      </c>
      <c r="G549" s="87">
        <f>L526</f>
        <v>111764.18000000001</v>
      </c>
      <c r="H549" s="87">
        <f>L531</f>
        <v>13404.64</v>
      </c>
      <c r="I549" s="87">
        <f>L536</f>
        <v>0</v>
      </c>
      <c r="J549" s="87">
        <f>L541</f>
        <v>4825.4799999999996</v>
      </c>
      <c r="K549" s="87">
        <f>SUM(F549:J549)</f>
        <v>468372.33999999997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338378.04</v>
      </c>
      <c r="G552" s="89">
        <f t="shared" si="42"/>
        <v>111764.18000000001</v>
      </c>
      <c r="H552" s="89">
        <f t="shared" si="42"/>
        <v>13404.64</v>
      </c>
      <c r="I552" s="89">
        <f t="shared" si="42"/>
        <v>0</v>
      </c>
      <c r="J552" s="89">
        <f t="shared" si="42"/>
        <v>4825.4799999999996</v>
      </c>
      <c r="K552" s="89">
        <f t="shared" si="42"/>
        <v>468372.33999999997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>
        <v>16710.8</v>
      </c>
      <c r="I562" s="18"/>
      <c r="J562" s="18"/>
      <c r="K562" s="18"/>
      <c r="L562" s="88">
        <f>SUM(F562:K562)</f>
        <v>16710.8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16710.8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16710.8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16710.8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16710.8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18652.86</v>
      </c>
      <c r="G579" s="18"/>
      <c r="H579" s="18"/>
      <c r="I579" s="87">
        <f t="shared" si="47"/>
        <v>18652.86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45820</v>
      </c>
      <c r="I591" s="18"/>
      <c r="J591" s="18"/>
      <c r="K591" s="104">
        <f t="shared" ref="K591:K597" si="48">SUM(H591:J591)</f>
        <v>45820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4825.4799999999996</v>
      </c>
      <c r="I592" s="18"/>
      <c r="J592" s="18"/>
      <c r="K592" s="104">
        <f t="shared" si="48"/>
        <v>4825.4799999999996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3520</v>
      </c>
      <c r="I594" s="18"/>
      <c r="J594" s="18"/>
      <c r="K594" s="104">
        <f t="shared" si="48"/>
        <v>3520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5887.34</v>
      </c>
      <c r="I595" s="18"/>
      <c r="J595" s="18"/>
      <c r="K595" s="104">
        <f t="shared" si="48"/>
        <v>5887.34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2133.4</v>
      </c>
      <c r="I597" s="18"/>
      <c r="J597" s="18"/>
      <c r="K597" s="104">
        <f t="shared" si="48"/>
        <v>2133.4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62186.219999999994</v>
      </c>
      <c r="I598" s="108">
        <f>SUM(I591:I597)</f>
        <v>0</v>
      </c>
      <c r="J598" s="108">
        <f>SUM(J591:J597)</f>
        <v>0</v>
      </c>
      <c r="K598" s="108">
        <f>SUM(K591:K597)</f>
        <v>62186.219999999994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124051.88</v>
      </c>
      <c r="I604" s="18"/>
      <c r="J604" s="18"/>
      <c r="K604" s="104">
        <f>SUM(H604:J604)</f>
        <v>124051.88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124051.88</v>
      </c>
      <c r="I605" s="108">
        <f>SUM(I602:I604)</f>
        <v>0</v>
      </c>
      <c r="J605" s="108">
        <f>SUM(J602:J604)</f>
        <v>0</v>
      </c>
      <c r="K605" s="108">
        <f>SUM(K602:K604)</f>
        <v>124051.88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2227.83</v>
      </c>
      <c r="G611" s="18">
        <v>487.34</v>
      </c>
      <c r="H611" s="18">
        <v>577.5</v>
      </c>
      <c r="I611" s="18">
        <v>240.66</v>
      </c>
      <c r="J611" s="18"/>
      <c r="K611" s="18"/>
      <c r="L611" s="88">
        <f>SUM(F611:K611)</f>
        <v>3533.33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2227.83</v>
      </c>
      <c r="G614" s="108">
        <f t="shared" si="49"/>
        <v>487.34</v>
      </c>
      <c r="H614" s="108">
        <f t="shared" si="49"/>
        <v>577.5</v>
      </c>
      <c r="I614" s="108">
        <f t="shared" si="49"/>
        <v>240.66</v>
      </c>
      <c r="J614" s="108">
        <f t="shared" si="49"/>
        <v>0</v>
      </c>
      <c r="K614" s="108">
        <f t="shared" si="49"/>
        <v>0</v>
      </c>
      <c r="L614" s="89">
        <f t="shared" si="49"/>
        <v>3533.33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2401442.2200000002</v>
      </c>
      <c r="H617" s="109">
        <f>SUM(F52)</f>
        <v>2401442.2200000002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799589.20000000007</v>
      </c>
      <c r="H618" s="109">
        <f>SUM(G52)</f>
        <v>799589.20000000007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1162956.9099999999</v>
      </c>
      <c r="H619" s="109">
        <f>SUM(H52)</f>
        <v>1162956.9100000001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264819.65999999997</v>
      </c>
      <c r="H621" s="109">
        <f>SUM(J52)</f>
        <v>264819.65999999997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287383.66000000003</v>
      </c>
      <c r="H622" s="109">
        <f>F476</f>
        <v>287383.65999999968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7815.75</v>
      </c>
      <c r="H623" s="109">
        <f>G476</f>
        <v>7815.75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4144.58</v>
      </c>
      <c r="H624" s="109">
        <f>H476</f>
        <v>4144.5800000000017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264819.65999999997</v>
      </c>
      <c r="H626" s="109">
        <f>J476</f>
        <v>264819.66000000003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3093777.5</v>
      </c>
      <c r="H627" s="104">
        <f>SUM(F468)</f>
        <v>3093777.5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107610.04</v>
      </c>
      <c r="H628" s="104">
        <f>SUM(G468)</f>
        <v>107610.04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109857.08999999998</v>
      </c>
      <c r="H629" s="104">
        <f>SUM(H468)</f>
        <v>109857.09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71500.820000000007</v>
      </c>
      <c r="H631" s="104">
        <f>SUM(J468)</f>
        <v>71500.820000000007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3026467.3900000006</v>
      </c>
      <c r="H632" s="104">
        <f>SUM(F472)</f>
        <v>3026467.39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112539.29000000001</v>
      </c>
      <c r="H633" s="104">
        <f>SUM(H472)</f>
        <v>112539.29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595</v>
      </c>
      <c r="H634" s="104">
        <f>I369</f>
        <v>595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108319</v>
      </c>
      <c r="H635" s="104">
        <f>SUM(G472)</f>
        <v>108319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71500.820000000007</v>
      </c>
      <c r="H637" s="164">
        <f>SUM(J468)</f>
        <v>71500.820000000007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15046</v>
      </c>
      <c r="H638" s="164">
        <f>SUM(J472)</f>
        <v>15046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264819.65999999997</v>
      </c>
      <c r="H640" s="104">
        <f>SUM(G461)</f>
        <v>264819.65999999997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264819.65999999997</v>
      </c>
      <c r="H642" s="104">
        <f>SUM(I461)</f>
        <v>264819.65999999997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1500.82</v>
      </c>
      <c r="H644" s="104">
        <f>H408</f>
        <v>1500.82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70000</v>
      </c>
      <c r="H645" s="104">
        <f>G408</f>
        <v>70000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71500.820000000007</v>
      </c>
      <c r="H646" s="104">
        <f>L408</f>
        <v>71500.820000000007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62186.219999999994</v>
      </c>
      <c r="H647" s="104">
        <f>L208+L226+L244</f>
        <v>62186.22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124051.88</v>
      </c>
      <c r="H648" s="104">
        <f>(J257+J338)-(J255+J336)</f>
        <v>124051.88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62186.22</v>
      </c>
      <c r="H649" s="104">
        <f>H598</f>
        <v>62186.219999999994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20000</v>
      </c>
      <c r="H652" s="104">
        <f>K263+K345</f>
        <v>20000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70000</v>
      </c>
      <c r="H655" s="104">
        <f>K266+K347</f>
        <v>70000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3157325.6800000006</v>
      </c>
      <c r="G660" s="19">
        <f>(L229+L309+L359)</f>
        <v>0</v>
      </c>
      <c r="H660" s="19">
        <f>(L247+L328+L360)</f>
        <v>0</v>
      </c>
      <c r="I660" s="19">
        <f>SUM(F660:H660)</f>
        <v>3157325.6800000006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23203.69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23203.69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62186.22</v>
      </c>
      <c r="G662" s="19">
        <f>(L226+L306)-(J226+J306)</f>
        <v>0</v>
      </c>
      <c r="H662" s="19">
        <f>(L244+L325)-(J244+J325)</f>
        <v>0</v>
      </c>
      <c r="I662" s="19">
        <f>SUM(F662:H662)</f>
        <v>62186.22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146238.06999999998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146238.06999999998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2925697.7000000007</v>
      </c>
      <c r="G664" s="19">
        <f>G660-SUM(G661:G663)</f>
        <v>0</v>
      </c>
      <c r="H664" s="19">
        <f>H660-SUM(H661:H663)</f>
        <v>0</v>
      </c>
      <c r="I664" s="19">
        <f>I660-SUM(I661:I663)</f>
        <v>2925697.7000000007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156.96</v>
      </c>
      <c r="G665" s="248"/>
      <c r="H665" s="248"/>
      <c r="I665" s="19">
        <f>SUM(F665:H665)</f>
        <v>156.96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18639.77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18639.77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18639.77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18639.77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A7" sqref="A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Ashland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856977.21</v>
      </c>
      <c r="C9" s="229">
        <f>'DOE25'!G197+'DOE25'!G215+'DOE25'!G233+'DOE25'!G276+'DOE25'!G295+'DOE25'!G314</f>
        <v>448945.32</v>
      </c>
    </row>
    <row r="10" spans="1:3" x14ac:dyDescent="0.2">
      <c r="A10" t="s">
        <v>773</v>
      </c>
      <c r="B10" s="240">
        <v>825328</v>
      </c>
      <c r="C10" s="240">
        <v>437600.35</v>
      </c>
    </row>
    <row r="11" spans="1:3" x14ac:dyDescent="0.2">
      <c r="A11" t="s">
        <v>774</v>
      </c>
      <c r="B11" s="240">
        <v>21702.71</v>
      </c>
      <c r="C11" s="240">
        <v>10535.55</v>
      </c>
    </row>
    <row r="12" spans="1:3" x14ac:dyDescent="0.2">
      <c r="A12" t="s">
        <v>775</v>
      </c>
      <c r="B12" s="240">
        <v>9946.5</v>
      </c>
      <c r="C12" s="240">
        <v>809.44</v>
      </c>
    </row>
    <row r="13" spans="1:3" x14ac:dyDescent="0.2">
      <c r="A13" t="str">
        <f>IF(B9=B13,IF(C9=C13,"Check Total OK","Check Total Error"),"Check Total Error")</f>
        <v>Check Total Error</v>
      </c>
      <c r="B13" s="231">
        <f>SUM(B10:B12)</f>
        <v>856977.21</v>
      </c>
      <c r="C13" s="231">
        <f>SUM(C10:C12)</f>
        <v>448945.33999999997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189709.53</v>
      </c>
      <c r="C18" s="229">
        <f>'DOE25'!G198+'DOE25'!G216+'DOE25'!G234+'DOE25'!G277+'DOE25'!G296+'DOE25'!G315</f>
        <v>105704.48</v>
      </c>
    </row>
    <row r="19" spans="1:3" x14ac:dyDescent="0.2">
      <c r="A19" t="s">
        <v>773</v>
      </c>
      <c r="B19" s="240">
        <v>106610.74</v>
      </c>
      <c r="C19" s="240">
        <v>80596.17</v>
      </c>
    </row>
    <row r="20" spans="1:3" x14ac:dyDescent="0.2">
      <c r="A20" t="s">
        <v>774</v>
      </c>
      <c r="B20" s="240">
        <v>81723.05</v>
      </c>
      <c r="C20" s="240">
        <v>24995.96</v>
      </c>
    </row>
    <row r="21" spans="1:3" x14ac:dyDescent="0.2">
      <c r="A21" t="s">
        <v>775</v>
      </c>
      <c r="B21" s="240">
        <v>1375.74</v>
      </c>
      <c r="C21" s="240">
        <v>112.35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189709.53</v>
      </c>
      <c r="C22" s="231">
        <f>SUM(C19:C21)</f>
        <v>105704.48000000001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27500</v>
      </c>
      <c r="C36" s="235">
        <f>'DOE25'!G200+'DOE25'!G218+'DOE25'!G236+'DOE25'!G279+'DOE25'!G298+'DOE25'!G317</f>
        <v>6407.27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27500</v>
      </c>
      <c r="C39" s="240">
        <v>6407.27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27500</v>
      </c>
      <c r="C40" s="231">
        <f>SUM(C37:C39)</f>
        <v>6407.27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P35" sqref="P35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Ashland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1661728.1099999999</v>
      </c>
      <c r="D5" s="20">
        <f>SUM('DOE25'!L197:L200)+SUM('DOE25'!L215:L218)+SUM('DOE25'!L233:L236)-F5-G5</f>
        <v>1652605.0799999998</v>
      </c>
      <c r="E5" s="243"/>
      <c r="F5" s="255">
        <f>SUM('DOE25'!J197:J200)+SUM('DOE25'!J215:J218)+SUM('DOE25'!J233:J236)</f>
        <v>8609.5300000000007</v>
      </c>
      <c r="G5" s="53">
        <f>SUM('DOE25'!K197:K200)+SUM('DOE25'!K215:K218)+SUM('DOE25'!K233:K236)</f>
        <v>513.5</v>
      </c>
      <c r="H5" s="259"/>
    </row>
    <row r="6" spans="1:9" x14ac:dyDescent="0.2">
      <c r="A6" s="32">
        <v>2100</v>
      </c>
      <c r="B6" t="s">
        <v>795</v>
      </c>
      <c r="C6" s="245">
        <f t="shared" si="0"/>
        <v>264534.62</v>
      </c>
      <c r="D6" s="20">
        <f>'DOE25'!L202+'DOE25'!L220+'DOE25'!L238-F6-G6</f>
        <v>264149.62</v>
      </c>
      <c r="E6" s="243"/>
      <c r="F6" s="255">
        <f>'DOE25'!J202+'DOE25'!J220+'DOE25'!J238</f>
        <v>0</v>
      </c>
      <c r="G6" s="53">
        <f>'DOE25'!K202+'DOE25'!K220+'DOE25'!K238</f>
        <v>385</v>
      </c>
      <c r="H6" s="259"/>
    </row>
    <row r="7" spans="1:9" x14ac:dyDescent="0.2">
      <c r="A7" s="32">
        <v>2200</v>
      </c>
      <c r="B7" t="s">
        <v>828</v>
      </c>
      <c r="C7" s="245">
        <f t="shared" si="0"/>
        <v>188987.54</v>
      </c>
      <c r="D7" s="20">
        <f>'DOE25'!L203+'DOE25'!L221+'DOE25'!L239-F7-G7</f>
        <v>167921.04</v>
      </c>
      <c r="E7" s="243"/>
      <c r="F7" s="255">
        <f>'DOE25'!J203+'DOE25'!J221+'DOE25'!J239</f>
        <v>21046.5</v>
      </c>
      <c r="G7" s="53">
        <f>'DOE25'!K203+'DOE25'!K221+'DOE25'!K239</f>
        <v>20</v>
      </c>
      <c r="H7" s="259"/>
    </row>
    <row r="8" spans="1:9" x14ac:dyDescent="0.2">
      <c r="A8" s="32">
        <v>2300</v>
      </c>
      <c r="B8" t="s">
        <v>796</v>
      </c>
      <c r="C8" s="245">
        <f t="shared" si="0"/>
        <v>47772.250000000007</v>
      </c>
      <c r="D8" s="243"/>
      <c r="E8" s="20">
        <f>'DOE25'!L204+'DOE25'!L222+'DOE25'!L240-F8-G8-D9-D11</f>
        <v>44042.790000000008</v>
      </c>
      <c r="F8" s="255">
        <f>'DOE25'!J204+'DOE25'!J222+'DOE25'!J240</f>
        <v>0</v>
      </c>
      <c r="G8" s="53">
        <f>'DOE25'!K204+'DOE25'!K222+'DOE25'!K240</f>
        <v>3729.46</v>
      </c>
      <c r="H8" s="259"/>
    </row>
    <row r="9" spans="1:9" x14ac:dyDescent="0.2">
      <c r="A9" s="32">
        <v>2310</v>
      </c>
      <c r="B9" t="s">
        <v>812</v>
      </c>
      <c r="C9" s="245">
        <f t="shared" si="0"/>
        <v>25689.119999999999</v>
      </c>
      <c r="D9" s="244">
        <v>25689.119999999999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8500</v>
      </c>
      <c r="D10" s="243"/>
      <c r="E10" s="244">
        <v>8500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39050.75</v>
      </c>
      <c r="D11" s="244">
        <v>39050.75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222112.87</v>
      </c>
      <c r="D12" s="20">
        <f>'DOE25'!L205+'DOE25'!L223+'DOE25'!L241-F12-G12</f>
        <v>222112.87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424405.91000000003</v>
      </c>
      <c r="D14" s="20">
        <f>'DOE25'!L207+'DOE25'!L225+'DOE25'!L243-F14-G14</f>
        <v>339261.94000000006</v>
      </c>
      <c r="E14" s="243"/>
      <c r="F14" s="255">
        <f>'DOE25'!J207+'DOE25'!J225+'DOE25'!J243</f>
        <v>85143.97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62186.22</v>
      </c>
      <c r="D15" s="20">
        <f>'DOE25'!L208+'DOE25'!L226+'DOE25'!L244-F15-G15</f>
        <v>62186.22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107724</v>
      </c>
      <c r="D29" s="20">
        <f>'DOE25'!L358+'DOE25'!L359+'DOE25'!L360-'DOE25'!I367-F29-G29</f>
        <v>107712</v>
      </c>
      <c r="E29" s="243"/>
      <c r="F29" s="255">
        <f>'DOE25'!J358+'DOE25'!J359+'DOE25'!J360</f>
        <v>0</v>
      </c>
      <c r="G29" s="53">
        <f>'DOE25'!K358+'DOE25'!K359+'DOE25'!K360</f>
        <v>12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112539.29000000001</v>
      </c>
      <c r="D31" s="20">
        <f>'DOE25'!L290+'DOE25'!L309+'DOE25'!L328+'DOE25'!L333+'DOE25'!L334+'DOE25'!L335-F31-G31</f>
        <v>100915.79000000001</v>
      </c>
      <c r="E31" s="243"/>
      <c r="F31" s="255">
        <f>'DOE25'!J290+'DOE25'!J309+'DOE25'!J328+'DOE25'!J333+'DOE25'!J334+'DOE25'!J335</f>
        <v>9251.880000000001</v>
      </c>
      <c r="G31" s="53">
        <f>'DOE25'!K290+'DOE25'!K309+'DOE25'!K328+'DOE25'!K333+'DOE25'!K334+'DOE25'!K335</f>
        <v>2371.62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2981604.43</v>
      </c>
      <c r="E33" s="246">
        <f>SUM(E5:E31)</f>
        <v>52542.790000000008</v>
      </c>
      <c r="F33" s="246">
        <f>SUM(F5:F31)</f>
        <v>124051.88</v>
      </c>
      <c r="G33" s="246">
        <f>SUM(G5:G31)</f>
        <v>7031.58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52542.790000000008</v>
      </c>
      <c r="E35" s="249"/>
    </row>
    <row r="36" spans="2:8" ht="12" thickTop="1" x14ac:dyDescent="0.2">
      <c r="B36" t="s">
        <v>809</v>
      </c>
      <c r="D36" s="20">
        <f>D33</f>
        <v>2981604.43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6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Ashland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318095.55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264819.65999999997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2069219.11</v>
      </c>
      <c r="D11" s="95">
        <f>'DOE25'!G12</f>
        <v>796846.89</v>
      </c>
      <c r="E11" s="95">
        <f>'DOE25'!H12</f>
        <v>1125953.27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14127.56</v>
      </c>
      <c r="D12" s="95">
        <f>'DOE25'!G13</f>
        <v>3959.18</v>
      </c>
      <c r="E12" s="95">
        <f>'DOE25'!H13</f>
        <v>37003.64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-1216.8699999999999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2401442.2200000002</v>
      </c>
      <c r="D18" s="41">
        <f>SUM(D8:D17)</f>
        <v>799589.20000000007</v>
      </c>
      <c r="E18" s="41">
        <f>SUM(E8:E17)</f>
        <v>1162956.9099999999</v>
      </c>
      <c r="F18" s="41">
        <f>SUM(F8:F17)</f>
        <v>0</v>
      </c>
      <c r="G18" s="41">
        <f>SUM(G8:G17)</f>
        <v>264819.65999999997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2052971.61</v>
      </c>
      <c r="D21" s="95">
        <f>'DOE25'!G22</f>
        <v>781290.92</v>
      </c>
      <c r="E21" s="95">
        <f>'DOE25'!H22</f>
        <v>1157756.74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49275.11</v>
      </c>
      <c r="D23" s="95">
        <f>'DOE25'!G24</f>
        <v>11152.1</v>
      </c>
      <c r="E23" s="95">
        <f>'DOE25'!H24</f>
        <v>1055.5899999999999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330.5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11481.34</v>
      </c>
      <c r="D29" s="95">
        <f>'DOE25'!G30</f>
        <v>-669.57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2114058.56</v>
      </c>
      <c r="D31" s="41">
        <f>SUM(D21:D30)</f>
        <v>791773.45000000007</v>
      </c>
      <c r="E31" s="41">
        <f>SUM(E21:E30)</f>
        <v>1158812.33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7815.75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4144.58</v>
      </c>
      <c r="F47" s="95">
        <f>'DOE25'!I48</f>
        <v>0</v>
      </c>
      <c r="G47" s="95">
        <f>'DOE25'!J48</f>
        <v>264819.65999999997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170124.54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102259.12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287383.66000000003</v>
      </c>
      <c r="D50" s="41">
        <f>SUM(D34:D49)</f>
        <v>7815.75</v>
      </c>
      <c r="E50" s="41">
        <f>SUM(E34:E49)</f>
        <v>4144.58</v>
      </c>
      <c r="F50" s="41">
        <f>SUM(F34:F49)</f>
        <v>0</v>
      </c>
      <c r="G50" s="41">
        <f>SUM(G34:G49)</f>
        <v>264819.65999999997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2401442.2200000002</v>
      </c>
      <c r="D51" s="41">
        <f>D50+D31</f>
        <v>799589.20000000007</v>
      </c>
      <c r="E51" s="41">
        <f>E50+E31</f>
        <v>1162956.9100000001</v>
      </c>
      <c r="F51" s="41">
        <f>F50+F31</f>
        <v>0</v>
      </c>
      <c r="G51" s="41">
        <f>G50+G31</f>
        <v>264819.65999999997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2148762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17402.7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605.37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1500.82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23203.69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1480.93</v>
      </c>
      <c r="D61" s="95">
        <f>SUM('DOE25'!G98:G110)</f>
        <v>0</v>
      </c>
      <c r="E61" s="95">
        <f>SUM('DOE25'!H98:H110)</f>
        <v>3184.68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19489</v>
      </c>
      <c r="D62" s="130">
        <f>SUM(D57:D61)</f>
        <v>23203.69</v>
      </c>
      <c r="E62" s="130">
        <f>SUM(E57:E61)</f>
        <v>3184.68</v>
      </c>
      <c r="F62" s="130">
        <f>SUM(F57:F61)</f>
        <v>0</v>
      </c>
      <c r="G62" s="130">
        <f>SUM(G57:G61)</f>
        <v>1500.82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2168251</v>
      </c>
      <c r="D63" s="22">
        <f>D56+D62</f>
        <v>23203.69</v>
      </c>
      <c r="E63" s="22">
        <f>E56+E62</f>
        <v>3184.68</v>
      </c>
      <c r="F63" s="22">
        <f>F56+F62</f>
        <v>0</v>
      </c>
      <c r="G63" s="22">
        <f>G56+G62</f>
        <v>1500.82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544898.31000000006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347431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1393.54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893722.85000000009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1330.58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1330.58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893722.85000000009</v>
      </c>
      <c r="D81" s="130">
        <f>SUM(D79:D80)+D78+D70</f>
        <v>1330.58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31470.799999999999</v>
      </c>
      <c r="D88" s="95">
        <f>SUM('DOE25'!G153:G161)</f>
        <v>63075.77</v>
      </c>
      <c r="E88" s="95">
        <f>SUM('DOE25'!H153:H161)</f>
        <v>106672.40999999999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332.85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31803.649999999998</v>
      </c>
      <c r="D91" s="131">
        <f>SUM(D85:D90)</f>
        <v>63075.77</v>
      </c>
      <c r="E91" s="131">
        <f>SUM(E85:E90)</f>
        <v>106672.40999999999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20000</v>
      </c>
      <c r="E96" s="95">
        <f>'DOE25'!H179</f>
        <v>0</v>
      </c>
      <c r="F96" s="95">
        <f>'DOE25'!I179</f>
        <v>0</v>
      </c>
      <c r="G96" s="95">
        <f>'DOE25'!J179</f>
        <v>70000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20000</v>
      </c>
      <c r="E103" s="86">
        <f>SUM(E93:E102)</f>
        <v>0</v>
      </c>
      <c r="F103" s="86">
        <f>SUM(F93:F102)</f>
        <v>0</v>
      </c>
      <c r="G103" s="86">
        <f>SUM(G93:G102)</f>
        <v>70000</v>
      </c>
    </row>
    <row r="104" spans="1:7" ht="12.75" thickTop="1" thickBot="1" x14ac:dyDescent="0.25">
      <c r="A104" s="33" t="s">
        <v>759</v>
      </c>
      <c r="C104" s="86">
        <f>C63+C81+C91+C103</f>
        <v>3093777.5</v>
      </c>
      <c r="D104" s="86">
        <f>D63+D81+D91+D103</f>
        <v>107610.04</v>
      </c>
      <c r="E104" s="86">
        <f>E63+E81+E91+E103</f>
        <v>109857.08999999998</v>
      </c>
      <c r="F104" s="86">
        <f>F63+F81+F91+F103</f>
        <v>0</v>
      </c>
      <c r="G104" s="86">
        <f>G63+G81+G103</f>
        <v>71500.820000000007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1277915.0699999998</v>
      </c>
      <c r="D109" s="24" t="s">
        <v>286</v>
      </c>
      <c r="E109" s="95">
        <f>('DOE25'!L276)+('DOE25'!L295)+('DOE25'!L314)</f>
        <v>88334.61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338378.04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45435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1661728.1099999999</v>
      </c>
      <c r="D115" s="86">
        <f>SUM(D109:D114)</f>
        <v>0</v>
      </c>
      <c r="E115" s="86">
        <f>SUM(E109:E114)</f>
        <v>88334.61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264534.62</v>
      </c>
      <c r="D118" s="24" t="s">
        <v>286</v>
      </c>
      <c r="E118" s="95">
        <f>+('DOE25'!L281)+('DOE25'!L300)+('DOE25'!L319)</f>
        <v>86.71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188987.54</v>
      </c>
      <c r="D119" s="24" t="s">
        <v>286</v>
      </c>
      <c r="E119" s="95">
        <f>+('DOE25'!L282)+('DOE25'!L301)+('DOE25'!L320)</f>
        <v>21746.350000000002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112512.12000000001</v>
      </c>
      <c r="D120" s="24" t="s">
        <v>286</v>
      </c>
      <c r="E120" s="95">
        <f>+('DOE25'!L283)+('DOE25'!L302)+('DOE25'!L321)</f>
        <v>2371.62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222112.87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424405.91000000003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62186.22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108319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1274739.28</v>
      </c>
      <c r="D128" s="86">
        <f>SUM(D118:D127)</f>
        <v>108319</v>
      </c>
      <c r="E128" s="86">
        <f>SUM(E118:E127)</f>
        <v>24204.68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15046</v>
      </c>
    </row>
    <row r="135" spans="1:7" x14ac:dyDescent="0.2">
      <c r="A135" t="s">
        <v>233</v>
      </c>
      <c r="B135" s="32" t="s">
        <v>234</v>
      </c>
      <c r="C135" s="95">
        <f>'DOE25'!L263</f>
        <v>20000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71500.820000000007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-1500.820000000007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90000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15046</v>
      </c>
    </row>
    <row r="145" spans="1:9" ht="12.75" thickTop="1" thickBot="1" x14ac:dyDescent="0.25">
      <c r="A145" s="33" t="s">
        <v>244</v>
      </c>
      <c r="C145" s="86">
        <f>(C115+C128+C144)</f>
        <v>3026467.3899999997</v>
      </c>
      <c r="D145" s="86">
        <f>(D115+D128+D144)</f>
        <v>108319</v>
      </c>
      <c r="E145" s="86">
        <f>(E115+E128+E144)</f>
        <v>112539.29000000001</v>
      </c>
      <c r="F145" s="86">
        <f>(F115+F128+F144)</f>
        <v>0</v>
      </c>
      <c r="G145" s="86">
        <f>(G115+G128+G144)</f>
        <v>15046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D24" sqref="D2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Ashland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18640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18640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1366250</v>
      </c>
      <c r="D10" s="182">
        <f>ROUND((C10/$C$28)*100,1)</f>
        <v>43.6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338378</v>
      </c>
      <c r="D11" s="182">
        <f>ROUND((C11/$C$28)*100,1)</f>
        <v>10.8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45435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264621</v>
      </c>
      <c r="D15" s="182">
        <f t="shared" ref="D15:D27" si="0">ROUND((C15/$C$28)*100,1)</f>
        <v>8.4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210734</v>
      </c>
      <c r="D16" s="182">
        <f t="shared" si="0"/>
        <v>6.7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114884</v>
      </c>
      <c r="D17" s="182">
        <f t="shared" si="0"/>
        <v>3.7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222113</v>
      </c>
      <c r="D18" s="182">
        <f t="shared" si="0"/>
        <v>7.1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424406</v>
      </c>
      <c r="D20" s="182">
        <f t="shared" si="0"/>
        <v>13.5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62186</v>
      </c>
      <c r="D21" s="182">
        <f t="shared" si="0"/>
        <v>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85115.31</v>
      </c>
      <c r="D27" s="182">
        <f t="shared" si="0"/>
        <v>2.7</v>
      </c>
    </row>
    <row r="28" spans="1:4" x14ac:dyDescent="0.2">
      <c r="B28" s="187" t="s">
        <v>717</v>
      </c>
      <c r="C28" s="180">
        <f>SUM(C10:C27)</f>
        <v>3134122.31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3134122.31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2148762</v>
      </c>
      <c r="D35" s="182">
        <f t="shared" ref="D35:D40" si="1">ROUND((C35/$C$41)*100,1)</f>
        <v>65.7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24174.5</v>
      </c>
      <c r="D36" s="182">
        <f t="shared" si="1"/>
        <v>0.7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892329</v>
      </c>
      <c r="D37" s="182">
        <f t="shared" si="1"/>
        <v>27.3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2724</v>
      </c>
      <c r="D38" s="182">
        <f t="shared" si="1"/>
        <v>0.1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201552</v>
      </c>
      <c r="D39" s="182">
        <f t="shared" si="1"/>
        <v>6.2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3269541.5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>Ashland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2018-09-18T18:24:30Z</cp:lastPrinted>
  <dcterms:created xsi:type="dcterms:W3CDTF">1997-12-04T19:04:30Z</dcterms:created>
  <dcterms:modified xsi:type="dcterms:W3CDTF">2018-11-13T18:42:22Z</dcterms:modified>
</cp:coreProperties>
</file>