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G526" i="1"/>
  <c r="F526" i="1"/>
  <c r="J521" i="1"/>
  <c r="I521" i="1"/>
  <c r="G521" i="1"/>
  <c r="F521" i="1"/>
  <c r="C21" i="12"/>
  <c r="C10" i="12"/>
  <c r="B10" i="12"/>
  <c r="C20" i="12"/>
  <c r="B20" i="12"/>
  <c r="C19" i="12"/>
  <c r="B19" i="12"/>
  <c r="B21" i="12"/>
  <c r="C11" i="12"/>
  <c r="B11" i="12"/>
  <c r="C12" i="12"/>
  <c r="B12" i="12"/>
  <c r="H234" i="1"/>
  <c r="H209" i="1"/>
  <c r="H207" i="1"/>
  <c r="H205" i="1"/>
  <c r="H204" i="1"/>
  <c r="H203" i="1"/>
  <c r="H198" i="1"/>
  <c r="H197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 s="1"/>
  <c r="L542" i="1"/>
  <c r="J550" i="1"/>
  <c r="L543" i="1"/>
  <c r="J551" i="1"/>
  <c r="K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D12" i="2"/>
  <c r="D13" i="2"/>
  <c r="D15" i="2"/>
  <c r="D16" i="2"/>
  <c r="D17" i="2"/>
  <c r="D18" i="2"/>
  <c r="E11" i="2"/>
  <c r="F11" i="2"/>
  <c r="I441" i="1"/>
  <c r="J12" i="1"/>
  <c r="G11" i="2"/>
  <c r="C12" i="2"/>
  <c r="E12" i="2"/>
  <c r="F12" i="2"/>
  <c r="I442" i="1"/>
  <c r="J13" i="1"/>
  <c r="G12" i="2"/>
  <c r="C13" i="2"/>
  <c r="E13" i="2"/>
  <c r="F13" i="2"/>
  <c r="I443" i="1"/>
  <c r="J14" i="1"/>
  <c r="G13" i="2"/>
  <c r="F14" i="2"/>
  <c r="C15" i="2"/>
  <c r="E15" i="2"/>
  <c r="F15" i="2"/>
  <c r="C16" i="2"/>
  <c r="E16" i="2"/>
  <c r="F16" i="2"/>
  <c r="I444" i="1"/>
  <c r="J17" i="1"/>
  <c r="C17" i="2"/>
  <c r="E17" i="2"/>
  <c r="F17" i="2"/>
  <c r="I445" i="1"/>
  <c r="J18" i="1"/>
  <c r="G17" i="2"/>
  <c r="C21" i="2"/>
  <c r="D21" i="2"/>
  <c r="E21" i="2"/>
  <c r="E22" i="2"/>
  <c r="E23" i="2"/>
  <c r="E24" i="2"/>
  <c r="E27" i="2"/>
  <c r="E28" i="2"/>
  <c r="E29" i="2"/>
  <c r="E30" i="2"/>
  <c r="E31" i="2"/>
  <c r="F21" i="2"/>
  <c r="I448" i="1"/>
  <c r="J22" i="1"/>
  <c r="C22" i="2"/>
  <c r="D22" i="2"/>
  <c r="F22" i="2"/>
  <c r="I449" i="1"/>
  <c r="J23" i="1"/>
  <c r="C23" i="2"/>
  <c r="D23" i="2"/>
  <c r="D24" i="2"/>
  <c r="D27" i="2"/>
  <c r="D28" i="2"/>
  <c r="D29" i="2"/>
  <c r="D30" i="2"/>
  <c r="D31" i="2"/>
  <c r="F23" i="2"/>
  <c r="I450" i="1"/>
  <c r="J24" i="1"/>
  <c r="G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4" i="2"/>
  <c r="C75" i="2"/>
  <c r="C76" i="2"/>
  <c r="C77" i="2"/>
  <c r="C78" i="2"/>
  <c r="F73" i="2"/>
  <c r="E76" i="2"/>
  <c r="F76" i="2"/>
  <c r="D77" i="2"/>
  <c r="D78" i="2"/>
  <c r="E77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C113" i="2"/>
  <c r="C114" i="2"/>
  <c r="C115" i="2"/>
  <c r="E112" i="2"/>
  <c r="E113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G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G619" i="1"/>
  <c r="I19" i="1"/>
  <c r="F32" i="1"/>
  <c r="F52" i="1"/>
  <c r="H617" i="1"/>
  <c r="G32" i="1"/>
  <c r="G52" i="1"/>
  <c r="H618" i="1"/>
  <c r="H32" i="1"/>
  <c r="I32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I229" i="1"/>
  <c r="I247" i="1"/>
  <c r="I256" i="1"/>
  <c r="I257" i="1"/>
  <c r="I271" i="1"/>
  <c r="J211" i="1"/>
  <c r="K211" i="1"/>
  <c r="F229" i="1"/>
  <c r="G229" i="1"/>
  <c r="H229" i="1"/>
  <c r="J229" i="1"/>
  <c r="K229" i="1"/>
  <c r="K247" i="1"/>
  <c r="K256" i="1"/>
  <c r="K257" i="1"/>
  <c r="K271" i="1"/>
  <c r="F247" i="1"/>
  <c r="F256" i="1"/>
  <c r="F257" i="1"/>
  <c r="F271" i="1"/>
  <c r="G247" i="1"/>
  <c r="H247" i="1"/>
  <c r="J247" i="1"/>
  <c r="G256" i="1"/>
  <c r="H256" i="1"/>
  <c r="J256" i="1"/>
  <c r="L256" i="1"/>
  <c r="L257" i="1"/>
  <c r="L270" i="1"/>
  <c r="L271" i="1"/>
  <c r="G632" i="1"/>
  <c r="F290" i="1"/>
  <c r="G290" i="1"/>
  <c r="G309" i="1"/>
  <c r="G328" i="1"/>
  <c r="G337" i="1"/>
  <c r="G338" i="1"/>
  <c r="G352" i="1"/>
  <c r="H290" i="1"/>
  <c r="I290" i="1"/>
  <c r="F309" i="1"/>
  <c r="H309" i="1"/>
  <c r="I309" i="1"/>
  <c r="F328" i="1"/>
  <c r="H328" i="1"/>
  <c r="I328" i="1"/>
  <c r="F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I369" i="1"/>
  <c r="H634" i="1"/>
  <c r="G634" i="1"/>
  <c r="J634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F461" i="1"/>
  <c r="H639" i="1"/>
  <c r="G460" i="1"/>
  <c r="H460" i="1"/>
  <c r="I460" i="1"/>
  <c r="G461" i="1"/>
  <c r="H461" i="1"/>
  <c r="H641" i="1"/>
  <c r="G641" i="1"/>
  <c r="J641" i="1"/>
  <c r="I461" i="1"/>
  <c r="F470" i="1"/>
  <c r="G470" i="1"/>
  <c r="H470" i="1"/>
  <c r="I470" i="1"/>
  <c r="J470" i="1"/>
  <c r="F474" i="1"/>
  <c r="G474" i="1"/>
  <c r="G476" i="1"/>
  <c r="H623" i="1"/>
  <c r="G623" i="1"/>
  <c r="J623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39" i="1"/>
  <c r="G544" i="1"/>
  <c r="G545" i="1"/>
  <c r="H534" i="1"/>
  <c r="I534" i="1"/>
  <c r="J534" i="1"/>
  <c r="K534" i="1"/>
  <c r="L534" i="1"/>
  <c r="F539" i="1"/>
  <c r="H539" i="1"/>
  <c r="H544" i="1"/>
  <c r="H545" i="1" s="1"/>
  <c r="I539" i="1"/>
  <c r="J539" i="1"/>
  <c r="K539" i="1"/>
  <c r="L539" i="1"/>
  <c r="F544" i="1"/>
  <c r="I544" i="1"/>
  <c r="I545" i="1"/>
  <c r="J544" i="1"/>
  <c r="K544" i="1"/>
  <c r="L544" i="1"/>
  <c r="L545" i="1" s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0" i="1"/>
  <c r="F571" i="1"/>
  <c r="G565" i="1"/>
  <c r="H565" i="1"/>
  <c r="I565" i="1"/>
  <c r="J565" i="1"/>
  <c r="K565" i="1"/>
  <c r="L567" i="1"/>
  <c r="L568" i="1"/>
  <c r="L569" i="1"/>
  <c r="L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/>
  <c r="G647" i="1"/>
  <c r="H647" i="1"/>
  <c r="J64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2" i="1"/>
  <c r="H642" i="1"/>
  <c r="G643" i="1"/>
  <c r="H643" i="1"/>
  <c r="J643" i="1"/>
  <c r="G644" i="1"/>
  <c r="H644" i="1"/>
  <c r="G649" i="1"/>
  <c r="J649" i="1"/>
  <c r="G650" i="1"/>
  <c r="G651" i="1"/>
  <c r="G652" i="1"/>
  <c r="H652" i="1"/>
  <c r="G653" i="1"/>
  <c r="H653" i="1"/>
  <c r="G654" i="1"/>
  <c r="H654" i="1"/>
  <c r="H655" i="1"/>
  <c r="J655" i="1"/>
  <c r="F192" i="1"/>
  <c r="G164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7" i="13"/>
  <c r="C17" i="13"/>
  <c r="D6" i="13"/>
  <c r="C6" i="13"/>
  <c r="E8" i="13"/>
  <c r="C8" i="13"/>
  <c r="C91" i="2"/>
  <c r="F78" i="2"/>
  <c r="F81" i="2"/>
  <c r="C128" i="2"/>
  <c r="D50" i="2"/>
  <c r="F18" i="2"/>
  <c r="G161" i="2"/>
  <c r="G156" i="2"/>
  <c r="E115" i="2"/>
  <c r="E103" i="2"/>
  <c r="D91" i="2"/>
  <c r="E62" i="2"/>
  <c r="E63" i="2"/>
  <c r="G62" i="2"/>
  <c r="D29" i="13"/>
  <c r="C29" i="13"/>
  <c r="D19" i="13"/>
  <c r="C19" i="13"/>
  <c r="D14" i="13"/>
  <c r="C14" i="13"/>
  <c r="E13" i="13"/>
  <c r="C13" i="13"/>
  <c r="E78" i="2"/>
  <c r="E81" i="2"/>
  <c r="J257" i="1"/>
  <c r="J271" i="1"/>
  <c r="H112" i="1"/>
  <c r="F112" i="1"/>
  <c r="J571" i="1"/>
  <c r="K571" i="1"/>
  <c r="L433" i="1"/>
  <c r="L419" i="1"/>
  <c r="D81" i="2"/>
  <c r="I169" i="1"/>
  <c r="H169" i="1"/>
  <c r="G552" i="1"/>
  <c r="J644" i="1"/>
  <c r="J476" i="1"/>
  <c r="H626" i="1"/>
  <c r="H476" i="1"/>
  <c r="H624" i="1"/>
  <c r="F476" i="1"/>
  <c r="H622" i="1"/>
  <c r="J622" i="1"/>
  <c r="I476" i="1"/>
  <c r="H625" i="1"/>
  <c r="J625" i="1"/>
  <c r="F169" i="1"/>
  <c r="J140" i="1"/>
  <c r="H257" i="1"/>
  <c r="H271" i="1"/>
  <c r="F664" i="1"/>
  <c r="F672" i="1"/>
  <c r="C4" i="10"/>
  <c r="I552" i="1"/>
  <c r="K550" i="1"/>
  <c r="G22" i="2"/>
  <c r="K545" i="1"/>
  <c r="H552" i="1"/>
  <c r="C29" i="10"/>
  <c r="I661" i="1"/>
  <c r="H140" i="1"/>
  <c r="L401" i="1"/>
  <c r="C139" i="2"/>
  <c r="L393" i="1"/>
  <c r="A13" i="12"/>
  <c r="F22" i="13"/>
  <c r="C22" i="13"/>
  <c r="H25" i="13"/>
  <c r="C25" i="13"/>
  <c r="J651" i="1"/>
  <c r="J640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I571" i="1"/>
  <c r="J636" i="1"/>
  <c r="G36" i="2"/>
  <c r="L565" i="1"/>
  <c r="C138" i="2"/>
  <c r="C16" i="13"/>
  <c r="H33" i="13"/>
  <c r="F667" i="1"/>
  <c r="C18" i="2"/>
  <c r="J617" i="1"/>
  <c r="J639" i="1"/>
  <c r="G257" i="1"/>
  <c r="G271" i="1"/>
  <c r="G645" i="1"/>
  <c r="J645" i="1"/>
  <c r="G81" i="2"/>
  <c r="G624" i="1"/>
  <c r="J624" i="1"/>
  <c r="E33" i="13"/>
  <c r="D35" i="13"/>
  <c r="C81" i="2"/>
  <c r="C103" i="2"/>
  <c r="C104" i="2"/>
  <c r="L337" i="1"/>
  <c r="L338" i="1"/>
  <c r="L352" i="1"/>
  <c r="G633" i="1"/>
  <c r="J633" i="1"/>
  <c r="F62" i="2"/>
  <c r="F63" i="2"/>
  <c r="C23" i="10"/>
  <c r="G163" i="2"/>
  <c r="G162" i="2"/>
  <c r="G160" i="2"/>
  <c r="G159" i="2"/>
  <c r="G158" i="2"/>
  <c r="G103" i="2"/>
  <c r="F103" i="2"/>
  <c r="F91" i="2"/>
  <c r="E50" i="2"/>
  <c r="E51" i="2"/>
  <c r="C50" i="2"/>
  <c r="F31" i="2"/>
  <c r="C31" i="2"/>
  <c r="E18" i="2"/>
  <c r="E144" i="2"/>
  <c r="F50" i="2"/>
  <c r="E145" i="2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F33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J618" i="1"/>
  <c r="G667" i="1"/>
  <c r="G672" i="1"/>
  <c r="C5" i="10"/>
  <c r="G42" i="2"/>
  <c r="J51" i="1"/>
  <c r="G16" i="2"/>
  <c r="J19" i="1"/>
  <c r="G621" i="1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J652" i="1"/>
  <c r="J642" i="1"/>
  <c r="G571" i="1"/>
  <c r="I434" i="1"/>
  <c r="G434" i="1"/>
  <c r="E104" i="2"/>
  <c r="I663" i="1"/>
  <c r="C27" i="10"/>
  <c r="C28" i="10"/>
  <c r="G635" i="1"/>
  <c r="J635" i="1"/>
  <c r="D31" i="13"/>
  <c r="C31" i="13"/>
  <c r="G104" i="2"/>
  <c r="F51" i="2"/>
  <c r="C51" i="2"/>
  <c r="G631" i="1"/>
  <c r="J631" i="1"/>
  <c r="I664" i="1"/>
  <c r="I672" i="1"/>
  <c r="C7" i="10" s="1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/>
  <c r="D36" i="13"/>
  <c r="I667" i="1"/>
  <c r="H656" i="1"/>
  <c r="D28" i="10"/>
  <c r="C41" i="10"/>
  <c r="D38" i="10"/>
  <c r="D37" i="10"/>
  <c r="D36" i="10"/>
  <c r="D35" i="10"/>
  <c r="D40" i="10"/>
  <c r="D39" i="10"/>
  <c r="D41" i="10"/>
  <c r="K549" i="1" l="1"/>
  <c r="K552" i="1" s="1"/>
  <c r="J55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<sst xmlns="http://schemas.openxmlformats.org/spreadsheetml/2006/main" count="3959" uniqueCount="915">
  <si>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</si>
  <si>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</si>
  <si>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</si>
  <si>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</si>
  <si>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</si>
  <si>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</si>
  <si>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</si>
  <si>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</si>
  <si>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</si>
  <si>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</si>
  <si>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</si>
  <si>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</si>
  <si>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</si>
  <si>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</si>
  <si>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</si>
  <si>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</si>
  <si>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</si>
  <si>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</si>
  <si>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</si>
  <si>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</si>
  <si>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</si>
  <si>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</si>
  <si>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</si>
  <si>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</si>
  <si>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</si>
  <si>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</si>
  <si>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</si>
  <si>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</si>
  <si>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</si>
  <si>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</si>
  <si>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</si>
  <si>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</si>
  <si>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</si>
  <si>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</si>
  <si>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</si>
  <si>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</si>
  <si>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</si>
  <si>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</si>
  <si>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</si>
  <si>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</si>
  <si>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</si>
  <si>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</si>
  <si>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</si>
  <si>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</si>
  <si>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</si>
  <si>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</si>
  <si>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</si>
  <si>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</si>
  <si>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</si>
  <si>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</si>
  <si>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</si>
  <si>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</si>
  <si>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</si>
  <si>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</si>
  <si>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</si>
  <si>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</si>
  <si>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</si>
  <si>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</si>
  <si>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</si>
  <si>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</si>
  <si>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</si>
  <si>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</si>
  <si>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</si>
  <si>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</si>
  <si>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</si>
  <si>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</si>
  <si>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</si>
  <si>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</si>
  <si>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</si>
  <si>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</si>
  <si>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</si>
  <si>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</si>
  <si>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</si>
  <si>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</si>
  <si>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</si>
  <si>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</si>
  <si>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</si>
  <si>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</si>
  <si>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</si>
  <si>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</si>
  <si>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</si>
  <si>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</si>
  <si>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</si>
  <si>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</si>
  <si>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</si>
  <si>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</si>
  <si>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</si>
  <si>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</si>
  <si>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</si>
  <si>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</si>
  <si>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</si>
  <si>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</si>
  <si>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</si>
  <si>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</si>
  <si>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</si>
  <si>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</si>
  <si>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</si>
  <si>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</si>
  <si>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</si>
  <si>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</si>
  <si>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</si>
  <si>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</si>
  <si>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</si>
  <si>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</si>
  <si>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</si>
  <si>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</si>
  <si>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</si>
  <si>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</si>
  <si>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</si>
  <si>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</si>
  <si>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</si>
  <si>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</si>
  <si>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</si>
  <si>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</si>
  <si>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</si>
  <si>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</si>
  <si>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</si>
  <si>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</si>
  <si>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</si>
  <si>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</si>
  <si>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</si>
  <si>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</si>
  <si>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</si>
  <si>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</si>
  <si>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</si>
  <si>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</si>
  <si>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</si>
  <si>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</si>
  <si>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</si>
  <si>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</si>
  <si>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</si>
  <si>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</si>
  <si>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</si>
  <si>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</si>
  <si>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</si>
  <si>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</si>
  <si>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</si>
  <si>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</si>
  <si>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</si>
  <si>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</si>
  <si>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</si>
  <si>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</si>
  <si>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</si>
  <si>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</si>
  <si>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</si>
  <si>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</si>
  <si>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</si>
  <si>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</si>
  <si>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</si>
  <si>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</si>
  <si>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</si>
  <si>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</si>
  <si>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</si>
  <si>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</si>
  <si>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</si>
  <si>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</si>
  <si>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</si>
  <si>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</si>
  <si>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</si>
  <si>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</si>
  <si>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</si>
  <si>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</si>
  <si>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</si>
  <si>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</si>
  <si>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</si>
  <si>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</si>
  <si>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</si>
  <si>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</si>
  <si>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</si>
  <si>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</si>
  <si>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</si>
  <si>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</si>
  <si>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</si>
  <si>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</si>
  <si>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</si>
  <si>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</si>
  <si>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</si>
  <si>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</si>
  <si>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</si>
  <si>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</si>
  <si>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</si>
  <si>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</si>
  <si>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</si>
  <si>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</si>
  <si>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</si>
  <si>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</si>
  <si>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</si>
  <si>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</si>
  <si>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</si>
  <si>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</si>
  <si>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</si>
  <si>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</si>
  <si>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</si>
  <si>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</si>
  <si>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</si>
  <si>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</si>
  <si>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</si>
  <si>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</si>
  <si>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</si>
  <si>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</si>
  <si>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</si>
  <si>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</si>
  <si>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</si>
  <si>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</si>
  <si>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</si>
  <si>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</si>
  <si>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</si>
  <si>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</si>
  <si>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</si>
  <si>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</si>
  <si>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</si>
  <si>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</si>
  <si>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</si>
  <si>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</si>
  <si>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</si>
  <si>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</si>
  <si>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</si>
  <si>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</si>
  <si>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</si>
  <si>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</si>
  <si>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</si>
  <si>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</si>
  <si>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</si>
  <si>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</si>
  <si>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</si>
  <si>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</si>
  <si>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</si>
  <si>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</si>
  <si>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</si>
  <si>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</si>
  <si>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</si>
  <si>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</si>
  <si>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</si>
  <si>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</si>
  <si>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</si>
  <si>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</si>
  <si>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</si>
  <si>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</si>
  <si>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</si>
  <si>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</si>
  <si>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</si>
  <si>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</si>
  <si>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</si>
  <si>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</si>
  <si>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</si>
  <si>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</si>
  <si>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</si>
  <si>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</si>
  <si>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</si>
  <si>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</si>
  <si>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</si>
  <si>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</si>
  <si>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</si>
  <si>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</si>
  <si>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</si>
  <si>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</si>
  <si>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</si>
  <si>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</si>
  <si>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</si>
  <si>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</si>
  <si>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</si>
  <si>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</si>
  <si>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</si>
  <si>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</si>
  <si>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</si>
  <si>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</si>
  <si>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</si>
  <si>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</si>
  <si>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</si>
  <si>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</si>
  <si>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</si>
  <si>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</si>
  <si>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</si>
  <si>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</si>
  <si>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</si>
  <si>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</si>
  <si>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</si>
  <si>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</si>
  <si>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</si>
  <si>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</si>
  <si>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</si>
  <si>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</si>
  <si>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</si>
  <si>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</si>
  <si>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</si>
  <si>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</si>
  <si>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</si>
  <si>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</si>
  <si>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</si>
  <si>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</si>
  <si>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</si>
  <si>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</si>
  <si>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</si>
  <si>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</si>
  <si>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</si>
  <si>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</si>
  <si>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</si>
  <si>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</si>
  <si>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</si>
  <si>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</si>
  <si>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</si>
  <si>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</si>
  <si>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</si>
  <si>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</si>
  <si>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</si>
  <si>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</si>
  <si>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</si>
  <si>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</si>
  <si>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</si>
  <si>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</si>
  <si>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</si>
  <si>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</si>
  <si>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</si>
  <si>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</si>
  <si>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</si>
  <si>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</si>
  <si>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</si>
  <si>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</si>
  <si>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</si>
  <si>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</si>
  <si>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</si>
  <si>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</si>
  <si>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</si>
  <si>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</si>
  <si>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</si>
  <si>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</si>
  <si>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</si>
  <si>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</si>
  <si>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</si>
  <si>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</si>
  <si>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</si>
  <si>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</si>
  <si>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</si>
  <si>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</si>
  <si>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</si>
  <si>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</si>
  <si>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</si>
  <si>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</si>
  <si>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</si>
  <si>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</si>
  <si>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</si>
  <si>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</si>
  <si>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</si>
  <si>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</si>
  <si>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</si>
  <si>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</si>
  <si>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</si>
  <si>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</si>
  <si>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</si>
  <si>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</si>
  <si>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</si>
  <si>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</si>
  <si>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</si>
  <si>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</si>
  <si>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</si>
  <si>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</si>
  <si>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</si>
  <si>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</si>
  <si>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</si>
  <si>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</si>
  <si>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</si>
  <si>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</si>
  <si>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</si>
  <si>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</si>
  <si>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</si>
  <si>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</si>
  <si>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</si>
  <si>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</si>
  <si>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</si>
  <si>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</si>
  <si>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</si>
  <si>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</si>
  <si>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</si>
  <si>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</si>
  <si>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</si>
  <si>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</si>
  <si>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</si>
  <si>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</si>
  <si>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</si>
  <si>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</si>
  <si>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</si>
  <si>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</si>
  <si>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</si>
  <si>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</si>
  <si>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</si>
  <si>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</si>
  <si>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</si>
  <si>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</si>
  <si>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</si>
  <si>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</si>
  <si>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</si>
  <si>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</si>
  <si>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</si>
  <si>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</si>
  <si>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</si>
  <si>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</si>
  <si>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</si>
  <si>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</si>
  <si>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</si>
  <si>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</si>
  <si>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</si>
  <si>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</si>
  <si>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</si>
  <si>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</si>
  <si>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</si>
  <si>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</si>
  <si>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</si>
  <si>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</si>
  <si>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</si>
  <si>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</si>
  <si>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</si>
  <si>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</si>
  <si>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</si>
  <si>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</si>
  <si>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</si>
  <si>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</si>
  <si>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</si>
  <si>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</si>
  <si>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</si>
  <si>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</si>
  <si>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</si>
  <si>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</si>
  <si>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</si>
  <si>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</si>
  <si>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</si>
  <si>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</si>
  <si>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</si>
  <si>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</si>
  <si>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</si>
  <si>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</si>
  <si>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</si>
  <si>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</si>
  <si>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</si>
  <si>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</si>
  <si>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</si>
  <si>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</si>
  <si>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</si>
  <si>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</si>
  <si>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</si>
  <si>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</si>
  <si>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</si>
  <si>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</si>
  <si>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</si>
  <si>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</si>
  <si>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</si>
  <si>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</si>
  <si>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</si>
  <si>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</si>
  <si>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</si>
  <si>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</si>
  <si>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</si>
  <si>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</si>
  <si>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</si>
  <si>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</si>
  <si>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</si>
  <si>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</si>
  <si>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</si>
  <si>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</si>
  <si>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</si>
  <si>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</si>
  <si>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</si>
  <si>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</si>
  <si>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</si>
  <si>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</si>
  <si>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</si>
  <si>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</si>
  <si>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</si>
  <si>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</si>
  <si>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</si>
  <si>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</si>
  <si>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</si>
  <si>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</si>
  <si>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</si>
  <si>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</si>
  <si>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</si>
  <si>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</si>
  <si>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</si>
  <si>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</si>
  <si>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</si>
  <si>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</si>
  <si>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</si>
  <si>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</si>
  <si>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</si>
  <si>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</si>
  <si>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</si>
  <si>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</si>
  <si>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</si>
  <si>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</si>
  <si>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</si>
  <si>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</si>
  <si>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</si>
  <si>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</si>
  <si>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</si>
  <si>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</si>
  <si>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</si>
  <si>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</si>
  <si>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</si>
  <si>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</si>
  <si>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</si>
  <si>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</si>
  <si>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</si>
  <si>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</si>
  <si>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</si>
  <si>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</si>
  <si>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</si>
  <si>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</si>
  <si>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</si>
  <si>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</si>
  <si>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</si>
  <si>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</si>
  <si>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</si>
  <si>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</si>
  <si>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</si>
  <si>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</si>
  <si>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</si>
  <si>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</si>
  <si>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</si>
  <si>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</si>
  <si>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</si>
  <si>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</si>
  <si>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</si>
  <si>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</si>
  <si>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</si>
  <si>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</si>
  <si>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</si>
  <si>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</si>
  <si>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</si>
  <si>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</si>
  <si>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</si>
  <si>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</si>
  <si>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</si>
  <si>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</si>
  <si>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</si>
  <si>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</si>
  <si>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</si>
  <si>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</si>
  <si>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</si>
  <si>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</si>
  <si>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</si>
  <si>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</si>
  <si>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</si>
  <si>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</si>
  <si>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</si>
  <si>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</si>
  <si>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</si>
  <si>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</si>
  <si>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</si>
  <si>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</si>
  <si>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</si>
  <si>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</si>
  <si>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</si>
  <si>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</si>
  <si>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</si>
  <si>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</si>
  <si>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</si>
  <si>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</si>
  <si>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</si>
  <si>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</si>
  <si>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</si>
  <si>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</si>
  <si>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</si>
  <si>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</si>
  <si>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</si>
  <si>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</si>
  <si>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</si>
  <si>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</si>
  <si>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</si>
  <si>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</si>
  <si>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</si>
  <si>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</si>
  <si>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</si>
  <si>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</si>
  <si>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</si>
  <si>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</si>
  <si>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</si>
  <si>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</si>
  <si>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</si>
  <si>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</si>
  <si>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</si>
  <si>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</si>
  <si>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</si>
  <si>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</si>
  <si>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</si>
  <si>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</si>
  <si>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</si>
  <si>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</si>
  <si>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</si>
  <si>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</si>
  <si>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</si>
  <si>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</si>
  <si>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</si>
  <si>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</si>
  <si>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</si>
  <si>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</si>
  <si>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</si>
  <si>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</si>
  <si>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</si>
  <si>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</si>
  <si>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</si>
  <si>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</si>
  <si>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</si>
  <si>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</si>
  <si>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</si>
  <si>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</si>
  <si>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</si>
  <si>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</si>
  <si>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</si>
  <si>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</si>
  <si>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</si>
  <si>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</si>
  <si>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</si>
  <si>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</si>
  <si>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</si>
  <si>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</si>
  <si>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</si>
  <si>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</si>
  <si>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</si>
  <si>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</si>
  <si>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</si>
  <si>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</si>
  <si>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</si>
  <si>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</si>
  <si>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</si>
  <si>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</si>
  <si>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</si>
  <si>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</si>
  <si>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</si>
  <si>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</si>
  <si>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</si>
  <si>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</si>
  <si>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</si>
  <si>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</si>
  <si>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</si>
  <si>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</si>
  <si>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</si>
  <si>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</si>
  <si>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</si>
  <si>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</si>
  <si>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</si>
  <si>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</si>
  <si>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</si>
  <si>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</si>
  <si>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</si>
  <si>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</si>
  <si>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</si>
  <si>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</si>
  <si>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</si>
  <si>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</si>
  <si>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</si>
  <si>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</si>
  <si>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</si>
  <si>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</si>
  <si>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</si>
  <si>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</si>
  <si>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</si>
  <si>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</si>
  <si>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</si>
  <si>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</si>
  <si>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</si>
  <si>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</si>
  <si>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</si>
  <si>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</si>
  <si>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</si>
  <si>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</si>
  <si>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</si>
  <si>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</si>
  <si>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</si>
  <si>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</si>
  <si>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</si>
  <si>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</si>
  <si>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</si>
  <si>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</si>
  <si>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</si>
  <si>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</si>
  <si>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</si>
  <si>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</si>
  <si>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</si>
  <si>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</si>
  <si>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</si>
  <si>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</si>
  <si>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</si>
  <si>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</si>
  <si>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</si>
  <si>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</si>
  <si>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</si>
  <si>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</si>
  <si>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</si>
  <si>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</si>
  <si>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</si>
  <si>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</si>
  <si>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</si>
  <si>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</si>
  <si>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</si>
  <si>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</si>
  <si>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</si>
  <si>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</si>
  <si>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</si>
  <si>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</si>
  <si>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</si>
  <si>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</si>
  <si>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</si>
  <si>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</si>
  <si>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</si>
  <si>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</si>
  <si>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</si>
  <si>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</si>
  <si>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</si>
  <si>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</si>
  <si>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</si>
  <si>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</si>
  <si>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</si>
  <si>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</si>
  <si>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</si>
  <si>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</si>
  <si>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</si>
  <si>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</si>
  <si>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</si>
  <si>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</si>
  <si>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</si>
  <si>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</si>
  <si>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</si>
  <si>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</si>
  <si>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</si>
  <si>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</si>
  <si>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</si>
  <si>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</si>
  <si>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</si>
  <si>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</si>
  <si>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</si>
  <si>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</si>
  <si>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</si>
  <si>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</si>
  <si>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</si>
  <si>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</si>
  <si>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</si>
  <si>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</si>
  <si>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</si>
  <si>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</si>
  <si>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</si>
  <si>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</si>
  <si>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</si>
  <si>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</si>
  <si>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</si>
  <si>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</si>
  <si>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</si>
  <si>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</si>
  <si>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</si>
  <si>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</si>
  <si>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</si>
  <si>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</si>
  <si>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</si>
  <si>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</si>
  <si>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</si>
  <si>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</si>
  <si>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</si>
  <si>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</si>
  <si>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</si>
  <si>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</si>
  <si>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</si>
  <si>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</si>
  <si>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</si>
  <si>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</si>
  <si>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</si>
  <si>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</si>
  <si>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</si>
  <si>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</si>
  <si>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</si>
  <si>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</si>
  <si>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</si>
  <si>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</si>
  <si>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</si>
  <si>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</si>
  <si>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</si>
  <si>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</si>
  <si>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</si>
  <si>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</si>
  <si>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</si>
  <si>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</si>
  <si>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</si>
  <si>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</si>
  <si>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</si>
  <si>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</si>
  <si>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</si>
  <si>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</si>
  <si>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</si>
  <si>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</si>
  <si>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</si>
  <si>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</si>
  <si>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</si>
  <si>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</si>
  <si>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</si>
  <si>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</si>
  <si>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</si>
  <si>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</si>
  <si>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</si>
  <si>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</si>
  <si>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</si>
  <si>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</si>
  <si>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</si>
  <si>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</si>
  <si>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</si>
  <si>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</si>
  <si>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</si>
  <si>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</si>
  <si>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</si>
  <si>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</si>
  <si>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</si>
  <si>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</si>
  <si>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</si>
  <si>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</si>
  <si>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</si>
  <si>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</si>
  <si>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</si>
  <si>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</si>
  <si>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</si>
  <si>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</si>
  <si>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</si>
  <si>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</si>
  <si>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</si>
  <si>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</si>
  <si>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</si>
  <si>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</si>
  <si>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</si>
  <si>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</si>
  <si>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</si>
  <si>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</si>
  <si>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</si>
  <si>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</si>
  <si>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</si>
  <si>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</si>
  <si>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</si>
  <si>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</si>
  <si>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</si>
  <si>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</si>
  <si>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</si>
  <si>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</si>
  <si>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</si>
  <si>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</si>
  <si>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</si>
  <si>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</si>
  <si>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</si>
  <si>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</si>
  <si>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</si>
  <si>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</si>
  <si>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</si>
  <si>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</si>
  <si>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</si>
  <si>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</si>
  <si>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</si>
  <si>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</si>
  <si>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</si>
  <si>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</si>
  <si>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</si>
  <si>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</si>
  <si>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</si>
  <si>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</si>
  <si>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</si>
  <si>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</si>
  <si>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</si>
  <si>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</si>
  <si>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</si>
  <si>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</si>
  <si>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</si>
  <si>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</si>
  <si>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</si>
  <si>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</si>
  <si>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</si>
  <si>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</si>
  <si>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</si>
  <si>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</si>
  <si>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</si>
  <si>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</si>
  <si>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</si>
  <si>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</si>
  <si>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</si>
  <si>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</si>
  <si>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</si>
  <si>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</si>
  <si>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</si>
  <si>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</si>
  <si>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</si>
  <si>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</si>
  <si>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</si>
  <si>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</si>
  <si>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</si>
  <si>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</si>
  <si>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</si>
  <si>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</si>
  <si>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</si>
  <si>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</si>
  <si>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</si>
  <si>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</si>
  <si>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</si>
  <si>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</si>
  <si>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</si>
  <si>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</si>
  <si>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</si>
  <si>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</si>
  <si>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</si>
  <si>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</si>
  <si>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</si>
  <si>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</si>
  <si>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</si>
  <si>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</si>
  <si>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</si>
  <si>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</si>
  <si>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</si>
  <si>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</si>
  <si>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</si>
  <si>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</si>
  <si>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</si>
  <si>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</si>
  <si>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6/13/18</t>
  </si>
  <si>
    <t>8/15/33</t>
  </si>
  <si>
    <t>Auburn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</si>
</sst>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/>
      <c r="C2" s="21"/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959891.14</v>
      </c>
      <c r="G9" s="18"/>
      <c r="H9" s="18"/>
      <c r="I9" s="18">
        <v>14312341.09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54960.93</v>
      </c>
      <c r="G12" s="18">
        <v>72995.09</v>
      </c>
      <c r="H12" s="18"/>
      <c r="I12" s="18"/>
      <c r="J12" s="67">
        <f>SUM(I441)</f>
        <v>283817.3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3525.67</v>
      </c>
      <c r="G13" s="18">
        <v>1937.18</v>
      </c>
      <c r="H13" s="18">
        <v>58214.93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1018377.7400000001</v>
      </c>
      <c r="G19" s="41">
        <f>SUM(G9:G18)</f>
        <v>74932.26999999999</v>
      </c>
      <c r="H19" s="41">
        <f>SUM(H9:H18)</f>
        <v>58214.93</v>
      </c>
      <c r="I19" s="41">
        <f>SUM(I9:I18)</f>
        <v>14312341.09</v>
      </c>
      <c r="J19" s="41">
        <f>SUM(J9:J18)</f>
        <v>283817.3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72995.09</v>
      </c>
      <c r="G22" s="18"/>
      <c r="H22" s="18">
        <v>54960.93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123712.36</v>
      </c>
      <c r="G24" s="18">
        <v>50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7295.6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6072.53</v>
      </c>
      <c r="H30" s="18">
        <v>3254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204003.05000000002</v>
      </c>
      <c r="G32" s="41">
        <f>SUM(G22:G31)</f>
        <v>6122.53</v>
      </c>
      <c r="H32" s="41">
        <f>SUM(H22:H31)</f>
        <v>58214.93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14312341.09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>
        <v>12600</v>
      </c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56209.74</v>
      </c>
      <c r="H48" s="18"/>
      <c r="I48" s="18"/>
      <c r="J48" s="13">
        <f>SUM(I459)</f>
        <v>283817.3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118876.7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695497.99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814374.69</v>
      </c>
      <c r="G51" s="41">
        <f>SUM(G35:G50)</f>
        <v>68809.739999999991</v>
      </c>
      <c r="H51" s="41">
        <f>SUM(H35:H50)</f>
        <v>0</v>
      </c>
      <c r="I51" s="41">
        <f>SUM(I35:I50)</f>
        <v>14312341.09</v>
      </c>
      <c r="J51" s="41">
        <f>SUM(J35:J50)</f>
        <v>283817.3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1018377.74</v>
      </c>
      <c r="G52" s="41">
        <f>G51+G32</f>
        <v>74932.26999999999</v>
      </c>
      <c r="H52" s="41">
        <f>H51+H32</f>
        <v>58214.93</v>
      </c>
      <c r="I52" s="41">
        <f>I51+I32</f>
        <v>14312341.09</v>
      </c>
      <c r="J52" s="41">
        <f>J51+J32</f>
        <v>283817.3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9147577.0399999991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9147577.0399999991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255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255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202.46</v>
      </c>
      <c r="G96" s="18"/>
      <c r="H96" s="18"/>
      <c r="I96" s="18"/>
      <c r="J96" s="18">
        <v>1119.6400000000001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163564.34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3535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200.1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11331.93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603.07000000000005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15672.46</v>
      </c>
      <c r="G111" s="41">
        <f>SUM(G96:G110)</f>
        <v>163564.34</v>
      </c>
      <c r="H111" s="41">
        <f>SUM(H96:H110)</f>
        <v>200.1</v>
      </c>
      <c r="I111" s="41">
        <f>SUM(I96:I110)</f>
        <v>0</v>
      </c>
      <c r="J111" s="41">
        <f>SUM(J96:J110)</f>
        <v>1119.6400000000001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9163504.5</v>
      </c>
      <c r="G112" s="41">
        <f>G60+G111</f>
        <v>163564.34</v>
      </c>
      <c r="H112" s="41">
        <f>H60+H79+H94+H111</f>
        <v>200.1</v>
      </c>
      <c r="I112" s="41">
        <f>I60+I111</f>
        <v>0</v>
      </c>
      <c r="J112" s="41">
        <f>J60+J111</f>
        <v>1119.6400000000001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2156021.67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1584249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17953.669999999998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3758224.34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242396.14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3175.25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242396.14</v>
      </c>
      <c r="G136" s="41">
        <f>SUM(G123:G135)</f>
        <v>3175.25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4000620.48</v>
      </c>
      <c r="G140" s="41">
        <f>G121+SUM(G136:G137)</f>
        <v>3175.25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38855.120000000003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55179.44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48730.8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171320.65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89119.66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89119.66</v>
      </c>
      <c r="G162" s="41">
        <f>SUM(G150:G161)</f>
        <v>48730.8</v>
      </c>
      <c r="H162" s="41">
        <f>SUM(H150:H161)</f>
        <v>265355.20999999996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420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89119.66</v>
      </c>
      <c r="G169" s="41">
        <f>G147+G162+SUM(G163:G168)</f>
        <v>48730.8</v>
      </c>
      <c r="H169" s="41">
        <f>H147+H162+SUM(H163:H168)</f>
        <v>265775.20999999996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14300000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>
        <v>12341.09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14312341.09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14312341.09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13253244.640000001</v>
      </c>
      <c r="G193" s="47">
        <f>G112+G140+G169+G192</f>
        <v>215470.39</v>
      </c>
      <c r="H193" s="47">
        <f>H112+H140+H169+H192</f>
        <v>265975.30999999994</v>
      </c>
      <c r="I193" s="47">
        <f>I112+I140+I169+I192</f>
        <v>14312341.09</v>
      </c>
      <c r="J193" s="47">
        <f>J112+J140+J192</f>
        <v>1119.6400000000001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2300661.7599999998</v>
      </c>
      <c r="G197" s="18">
        <v>1165946.74</v>
      </c>
      <c r="H197" s="18">
        <f>5100+522.5</f>
        <v>5622.5</v>
      </c>
      <c r="I197" s="18">
        <v>142701.42000000001</v>
      </c>
      <c r="J197" s="18">
        <v>21861.53</v>
      </c>
      <c r="K197" s="18">
        <v>262</v>
      </c>
      <c r="L197" s="19">
        <f>SUM(F197:K197)</f>
        <v>3637055.9499999997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546056.39</v>
      </c>
      <c r="G198" s="18">
        <v>257088.37</v>
      </c>
      <c r="H198" s="18">
        <f>91477.29+123870.97</f>
        <v>215348.26</v>
      </c>
      <c r="I198" s="18">
        <v>3260.95</v>
      </c>
      <c r="J198" s="18">
        <v>9201.65</v>
      </c>
      <c r="K198" s="18">
        <v>875</v>
      </c>
      <c r="L198" s="19">
        <f>SUM(F198:K198)</f>
        <v>1031830.62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39417</v>
      </c>
      <c r="G200" s="18">
        <v>7413.82</v>
      </c>
      <c r="H200" s="18">
        <v>5917</v>
      </c>
      <c r="I200" s="18">
        <v>4425.76</v>
      </c>
      <c r="J200" s="18">
        <v>3126.33</v>
      </c>
      <c r="K200" s="18">
        <v>1410</v>
      </c>
      <c r="L200" s="19">
        <f>SUM(F200:K200)</f>
        <v>61709.91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350808.29</v>
      </c>
      <c r="G202" s="18">
        <v>157475.29</v>
      </c>
      <c r="H202" s="18">
        <v>114615.21</v>
      </c>
      <c r="I202" s="18">
        <v>19696.07</v>
      </c>
      <c r="J202" s="18"/>
      <c r="K202" s="18">
        <v>2342.6</v>
      </c>
      <c r="L202" s="19">
        <f t="shared" ref="L202:L208" si="0">SUM(F202:K202)</f>
        <v>644937.45999999985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147093.82</v>
      </c>
      <c r="G203" s="18">
        <v>77478.92</v>
      </c>
      <c r="H203" s="18">
        <f>500+1034</f>
        <v>1534</v>
      </c>
      <c r="I203" s="18">
        <v>9293.94</v>
      </c>
      <c r="J203" s="18"/>
      <c r="K203" s="18">
        <v>85</v>
      </c>
      <c r="L203" s="19">
        <f t="shared" si="0"/>
        <v>235485.68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10275</v>
      </c>
      <c r="G204" s="18">
        <v>999.47</v>
      </c>
      <c r="H204" s="18">
        <f>287029+34335.33</f>
        <v>321364.33</v>
      </c>
      <c r="I204" s="18">
        <v>2143.6799999999998</v>
      </c>
      <c r="J204" s="18"/>
      <c r="K204" s="18">
        <v>4094.36</v>
      </c>
      <c r="L204" s="19">
        <f>SUM(F204:K204)</f>
        <v>338876.83999999997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240477.22</v>
      </c>
      <c r="G205" s="18">
        <v>95670.55</v>
      </c>
      <c r="H205" s="18">
        <f>44731.87+29513.26</f>
        <v>74245.13</v>
      </c>
      <c r="I205" s="18">
        <v>1114.29</v>
      </c>
      <c r="J205" s="18">
        <v>1862.99</v>
      </c>
      <c r="K205" s="18">
        <v>1266.5</v>
      </c>
      <c r="L205" s="19">
        <f t="shared" si="0"/>
        <v>414636.68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195726.92</v>
      </c>
      <c r="G207" s="18">
        <v>102400.88</v>
      </c>
      <c r="H207" s="18">
        <f>3467.5+166206.21+22839.96</f>
        <v>192513.66999999998</v>
      </c>
      <c r="I207" s="18">
        <v>118000.25</v>
      </c>
      <c r="J207" s="18">
        <v>2034.36</v>
      </c>
      <c r="K207" s="18"/>
      <c r="L207" s="19">
        <f t="shared" si="0"/>
        <v>610676.07999999996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514450.19</v>
      </c>
      <c r="I208" s="18"/>
      <c r="J208" s="18"/>
      <c r="K208" s="18"/>
      <c r="L208" s="19">
        <f t="shared" si="0"/>
        <v>514450.19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87756.59</v>
      </c>
      <c r="G209" s="18">
        <v>18746.53</v>
      </c>
      <c r="H209" s="18">
        <f>16091.24</f>
        <v>16091.24</v>
      </c>
      <c r="I209" s="18">
        <v>16942.5</v>
      </c>
      <c r="J209" s="18">
        <v>71405.259999999995</v>
      </c>
      <c r="K209" s="18"/>
      <c r="L209" s="19">
        <f>SUM(F209:K209)</f>
        <v>210942.12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3918272.9899999998</v>
      </c>
      <c r="G211" s="41">
        <f t="shared" si="1"/>
        <v>1883220.57</v>
      </c>
      <c r="H211" s="41">
        <f t="shared" si="1"/>
        <v>1461701.53</v>
      </c>
      <c r="I211" s="41">
        <f t="shared" si="1"/>
        <v>317578.86000000004</v>
      </c>
      <c r="J211" s="41">
        <f t="shared" si="1"/>
        <v>109492.12</v>
      </c>
      <c r="K211" s="41">
        <f t="shared" si="1"/>
        <v>10335.460000000001</v>
      </c>
      <c r="L211" s="41">
        <f t="shared" si="1"/>
        <v>7700601.5299999993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47195.8</v>
      </c>
      <c r="I216" s="18"/>
      <c r="J216" s="18"/>
      <c r="K216" s="18"/>
      <c r="L216" s="19">
        <f>SUM(F216:K216)</f>
        <v>47195.8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47195.8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47195.8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2982465.75</v>
      </c>
      <c r="I233" s="18"/>
      <c r="J233" s="18"/>
      <c r="K233" s="18"/>
      <c r="L233" s="19">
        <f>SUM(F233:K233)</f>
        <v>2982465.75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156176.8+1375040.29+39313</f>
        <v>1570530.09</v>
      </c>
      <c r="I234" s="18"/>
      <c r="J234" s="18"/>
      <c r="K234" s="18"/>
      <c r="L234" s="19">
        <f>SUM(F234:K234)</f>
        <v>1570530.09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239659.53</v>
      </c>
      <c r="I244" s="18"/>
      <c r="J244" s="18"/>
      <c r="K244" s="18"/>
      <c r="L244" s="19">
        <f t="shared" si="4"/>
        <v>239659.53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4792655.37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4792655.37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4718</v>
      </c>
      <c r="I255" s="18"/>
      <c r="J255" s="18"/>
      <c r="K255" s="18"/>
      <c r="L255" s="19">
        <f t="shared" si="6"/>
        <v>4718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4718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4718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3918272.9899999998</v>
      </c>
      <c r="G257" s="41">
        <f t="shared" si="8"/>
        <v>1883220.57</v>
      </c>
      <c r="H257" s="41">
        <f t="shared" si="8"/>
        <v>6306270.7000000002</v>
      </c>
      <c r="I257" s="41">
        <f t="shared" si="8"/>
        <v>317578.86000000004</v>
      </c>
      <c r="J257" s="41">
        <f t="shared" si="8"/>
        <v>109492.12</v>
      </c>
      <c r="K257" s="41">
        <f t="shared" si="8"/>
        <v>10335.460000000001</v>
      </c>
      <c r="L257" s="41">
        <f t="shared" si="8"/>
        <v>12545170.699999999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3918272.9899999998</v>
      </c>
      <c r="G271" s="42">
        <f t="shared" si="11"/>
        <v>1883220.57</v>
      </c>
      <c r="H271" s="42">
        <f t="shared" si="11"/>
        <v>6306270.7000000002</v>
      </c>
      <c r="I271" s="42">
        <f t="shared" si="11"/>
        <v>317578.86000000004</v>
      </c>
      <c r="J271" s="42">
        <f t="shared" si="11"/>
        <v>109492.12</v>
      </c>
      <c r="K271" s="42">
        <f t="shared" si="11"/>
        <v>10335.460000000001</v>
      </c>
      <c r="L271" s="42">
        <f t="shared" si="11"/>
        <v>12545170.699999999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30576</v>
      </c>
      <c r="G276" s="18">
        <v>7449.51</v>
      </c>
      <c r="H276" s="18"/>
      <c r="I276" s="18">
        <v>4093.68</v>
      </c>
      <c r="J276" s="18"/>
      <c r="K276" s="18"/>
      <c r="L276" s="19">
        <f>SUM(F276:K276)</f>
        <v>42119.19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67903.149999999994</v>
      </c>
      <c r="G277" s="18">
        <v>11773.12</v>
      </c>
      <c r="H277" s="18">
        <v>27976.46</v>
      </c>
      <c r="I277" s="18">
        <v>7895.26</v>
      </c>
      <c r="J277" s="18">
        <v>3919.22</v>
      </c>
      <c r="K277" s="18"/>
      <c r="L277" s="19">
        <f>SUM(F277:K277)</f>
        <v>119467.20999999998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16559.77</v>
      </c>
      <c r="G281" s="18">
        <v>1322.88</v>
      </c>
      <c r="H281" s="18"/>
      <c r="I281" s="18">
        <v>25649.29</v>
      </c>
      <c r="J281" s="18"/>
      <c r="K281" s="18"/>
      <c r="L281" s="19">
        <f t="shared" ref="L281:L287" si="12">SUM(F281:K281)</f>
        <v>43531.94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2756.25</v>
      </c>
      <c r="G282" s="18">
        <v>681.71</v>
      </c>
      <c r="H282" s="18">
        <v>11757.85</v>
      </c>
      <c r="I282" s="18">
        <v>2135.06</v>
      </c>
      <c r="J282" s="18"/>
      <c r="K282" s="18"/>
      <c r="L282" s="19">
        <f t="shared" si="12"/>
        <v>17330.870000000003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4918.38</v>
      </c>
      <c r="L285" s="19">
        <f t="shared" si="12"/>
        <v>4918.38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420</v>
      </c>
      <c r="I288" s="18">
        <v>9591.98</v>
      </c>
      <c r="J288" s="18">
        <v>28595.74</v>
      </c>
      <c r="K288" s="18"/>
      <c r="L288" s="19">
        <f>SUM(F288:K288)</f>
        <v>38607.72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117795.17</v>
      </c>
      <c r="G290" s="42">
        <f t="shared" si="13"/>
        <v>21227.22</v>
      </c>
      <c r="H290" s="42">
        <f t="shared" si="13"/>
        <v>40154.31</v>
      </c>
      <c r="I290" s="42">
        <f t="shared" si="13"/>
        <v>49365.270000000004</v>
      </c>
      <c r="J290" s="42">
        <f t="shared" si="13"/>
        <v>32514.960000000003</v>
      </c>
      <c r="K290" s="42">
        <f t="shared" si="13"/>
        <v>4918.38</v>
      </c>
      <c r="L290" s="41">
        <f t="shared" si="13"/>
        <v>265975.30999999994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117795.17</v>
      </c>
      <c r="G338" s="41">
        <f t="shared" si="20"/>
        <v>21227.22</v>
      </c>
      <c r="H338" s="41">
        <f t="shared" si="20"/>
        <v>40154.31</v>
      </c>
      <c r="I338" s="41">
        <f t="shared" si="20"/>
        <v>49365.270000000004</v>
      </c>
      <c r="J338" s="41">
        <f t="shared" si="20"/>
        <v>32514.960000000003</v>
      </c>
      <c r="K338" s="41">
        <f t="shared" si="20"/>
        <v>4918.38</v>
      </c>
      <c r="L338" s="41">
        <f t="shared" si="20"/>
        <v>265975.30999999994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117795.17</v>
      </c>
      <c r="G352" s="41">
        <f>G338</f>
        <v>21227.22</v>
      </c>
      <c r="H352" s="41">
        <f>H338</f>
        <v>40154.31</v>
      </c>
      <c r="I352" s="41">
        <f>I338</f>
        <v>49365.270000000004</v>
      </c>
      <c r="J352" s="41">
        <f>J338</f>
        <v>32514.960000000003</v>
      </c>
      <c r="K352" s="47">
        <f>K338+K351</f>
        <v>4918.38</v>
      </c>
      <c r="L352" s="41">
        <f>L338+L351</f>
        <v>265975.30999999994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63764.32</v>
      </c>
      <c r="G358" s="18">
        <v>19489.36</v>
      </c>
      <c r="H358" s="18">
        <v>8646.5300000000007</v>
      </c>
      <c r="I358" s="18">
        <v>100948.47</v>
      </c>
      <c r="J358" s="18">
        <v>34413.56</v>
      </c>
      <c r="K358" s="18">
        <v>600</v>
      </c>
      <c r="L358" s="13">
        <f>SUM(F358:K358)</f>
        <v>227862.24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63764.32</v>
      </c>
      <c r="G362" s="47">
        <f t="shared" si="22"/>
        <v>19489.36</v>
      </c>
      <c r="H362" s="47">
        <f t="shared" si="22"/>
        <v>8646.5300000000007</v>
      </c>
      <c r="I362" s="47">
        <f t="shared" si="22"/>
        <v>100948.47</v>
      </c>
      <c r="J362" s="47">
        <f t="shared" si="22"/>
        <v>34413.56</v>
      </c>
      <c r="K362" s="47">
        <f t="shared" si="22"/>
        <v>600</v>
      </c>
      <c r="L362" s="47">
        <f t="shared" si="22"/>
        <v>227862.24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91721.3</v>
      </c>
      <c r="G367" s="18"/>
      <c r="H367" s="18"/>
      <c r="I367" s="56">
        <f>SUM(F367:H367)</f>
        <v>91721.3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9227.17</v>
      </c>
      <c r="G368" s="63"/>
      <c r="H368" s="63"/>
      <c r="I368" s="56">
        <f>SUM(F368:H368)</f>
        <v>9227.17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100948.47</v>
      </c>
      <c r="G369" s="47">
        <f>SUM(G367:G368)</f>
        <v>0</v>
      </c>
      <c r="H369" s="47">
        <f>SUM(H367:H368)</f>
        <v>0</v>
      </c>
      <c r="I369" s="47">
        <f>SUM(I367:I368)</f>
        <v>100948.47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969.88</v>
      </c>
      <c r="I388" s="18"/>
      <c r="J388" s="24" t="s">
        <v>286</v>
      </c>
      <c r="K388" s="24" t="s">
        <v>286</v>
      </c>
      <c r="L388" s="56">
        <f t="shared" si="25"/>
        <v>969.88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969.88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969.88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149.76</v>
      </c>
      <c r="I397" s="18"/>
      <c r="J397" s="24" t="s">
        <v>286</v>
      </c>
      <c r="K397" s="24" t="s">
        <v>286</v>
      </c>
      <c r="L397" s="56">
        <f t="shared" si="26"/>
        <v>149.76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149.76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149.76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1119.6399999999999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1119.6399999999999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19350</v>
      </c>
      <c r="I422" s="18"/>
      <c r="J422" s="18"/>
      <c r="K422" s="18"/>
      <c r="L422" s="56">
        <f t="shared" si="29"/>
        <v>19350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19350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19350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19350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19350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283817.3</v>
      </c>
      <c r="H441" s="18"/>
      <c r="I441" s="56">
        <f t="shared" si="33"/>
        <v>283817.3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283817.3</v>
      </c>
      <c r="H446" s="13">
        <f>SUM(H439:H445)</f>
        <v>0</v>
      </c>
      <c r="I446" s="13">
        <f>SUM(I439:I445)</f>
        <v>283817.3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283817.3</v>
      </c>
      <c r="H459" s="18"/>
      <c r="I459" s="56">
        <f t="shared" si="34"/>
        <v>283817.3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283817.3</v>
      </c>
      <c r="H460" s="83">
        <f>SUM(H454:H459)</f>
        <v>0</v>
      </c>
      <c r="I460" s="83">
        <f>SUM(I454:I459)</f>
        <v>283817.3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283817.3</v>
      </c>
      <c r="H461" s="42">
        <f>H452+H460</f>
        <v>0</v>
      </c>
      <c r="I461" s="42">
        <f>I452+I460</f>
        <v>283817.3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106300.75</v>
      </c>
      <c r="G465" s="18">
        <v>81201.59</v>
      </c>
      <c r="H465" s="18"/>
      <c r="I465" s="18"/>
      <c r="J465" s="18">
        <v>302047.65999999997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13253244.640000001</v>
      </c>
      <c r="G468" s="18">
        <v>215470.39</v>
      </c>
      <c r="H468" s="18">
        <v>265975.31</v>
      </c>
      <c r="I468" s="18">
        <v>14312341.09</v>
      </c>
      <c r="J468" s="18">
        <v>1119.6400000000001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13253244.640000001</v>
      </c>
      <c r="G470" s="53">
        <f>SUM(G468:G469)</f>
        <v>215470.39</v>
      </c>
      <c r="H470" s="53">
        <f>SUM(H468:H469)</f>
        <v>265975.31</v>
      </c>
      <c r="I470" s="53">
        <f>SUM(I468:I469)</f>
        <v>14312341.09</v>
      </c>
      <c r="J470" s="53">
        <f>SUM(J468:J469)</f>
        <v>1119.6400000000001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12545170.699999999</v>
      </c>
      <c r="G472" s="18">
        <v>227862.24</v>
      </c>
      <c r="H472" s="18">
        <v>265975.31</v>
      </c>
      <c r="I472" s="18"/>
      <c r="J472" s="18">
        <v>19350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12545170.699999999</v>
      </c>
      <c r="G474" s="53">
        <f>SUM(G472:G473)</f>
        <v>227862.24</v>
      </c>
      <c r="H474" s="53">
        <f>SUM(H472:H473)</f>
        <v>265975.31</v>
      </c>
      <c r="I474" s="53">
        <f>SUM(I472:I473)</f>
        <v>0</v>
      </c>
      <c r="J474" s="53">
        <f>SUM(J472:J473)</f>
        <v>19350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814374.69000000134</v>
      </c>
      <c r="G476" s="53">
        <f>(G465+G470)- G474</f>
        <v>68809.739999999991</v>
      </c>
      <c r="H476" s="53">
        <f>(H465+H470)- H474</f>
        <v>0</v>
      </c>
      <c r="I476" s="53">
        <f>(I465+I470)- I474</f>
        <v>14312341.09</v>
      </c>
      <c r="J476" s="53">
        <f>(J465+J470)- J474</f>
        <v>283817.3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14300000</v>
      </c>
      <c r="G496" s="18"/>
      <c r="H496" s="18"/>
      <c r="I496" s="18"/>
      <c r="J496" s="18"/>
      <c r="K496" s="53">
        <f t="shared" ref="K496:K503" si="35">SUM(F496:J496)</f>
        <v>14300000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13141000</v>
      </c>
      <c r="G498" s="204"/>
      <c r="H498" s="204"/>
      <c r="I498" s="204"/>
      <c r="J498" s="204"/>
      <c r="K498" s="205">
        <f t="shared" si="35"/>
        <v>13141000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4893235.3499999996</v>
      </c>
      <c r="G499" s="18"/>
      <c r="H499" s="18"/>
      <c r="I499" s="18"/>
      <c r="J499" s="18"/>
      <c r="K499" s="53">
        <f t="shared" si="35"/>
        <v>4893235.3499999996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18034235.350000001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18034235.350000001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393101.1</v>
      </c>
      <c r="G502" s="18"/>
      <c r="H502" s="18"/>
      <c r="I502" s="18"/>
      <c r="J502" s="18"/>
      <c r="K502" s="53">
        <f t="shared" si="35"/>
        <v>393101.1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393101.1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393101.1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67903.15+435637.29</f>
        <v>503540.43999999994</v>
      </c>
      <c r="G521" s="18">
        <f>11773.12+196911.1</f>
        <v>208684.22</v>
      </c>
      <c r="H521" s="18">
        <v>119523.7</v>
      </c>
      <c r="I521" s="18">
        <f>7895.26+2697.63</f>
        <v>10592.89</v>
      </c>
      <c r="J521" s="18">
        <f>3919.22+8470.17</f>
        <v>12389.39</v>
      </c>
      <c r="K521" s="18"/>
      <c r="L521" s="88">
        <f>SUM(F521:K521)</f>
        <v>854730.6399999999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47195.8</v>
      </c>
      <c r="I522" s="18"/>
      <c r="J522" s="18"/>
      <c r="K522" s="18"/>
      <c r="L522" s="88">
        <f>SUM(F522:K522)</f>
        <v>47195.8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1531217.09</v>
      </c>
      <c r="I523" s="18"/>
      <c r="J523" s="18"/>
      <c r="K523" s="18"/>
      <c r="L523" s="88">
        <f>SUM(F523:K523)</f>
        <v>1531217.09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503540.43999999994</v>
      </c>
      <c r="G524" s="108">
        <f t="shared" ref="G524:L524" si="36">SUM(G521:G523)</f>
        <v>208684.22</v>
      </c>
      <c r="H524" s="108">
        <f t="shared" si="36"/>
        <v>1697936.59</v>
      </c>
      <c r="I524" s="108">
        <f t="shared" si="36"/>
        <v>10592.89</v>
      </c>
      <c r="J524" s="108">
        <f t="shared" si="36"/>
        <v>12389.39</v>
      </c>
      <c r="K524" s="108">
        <f t="shared" si="36"/>
        <v>0</v>
      </c>
      <c r="L524" s="89">
        <f t="shared" si="36"/>
        <v>2433143.5300000003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16109.77+192327.29</f>
        <v>208437.06</v>
      </c>
      <c r="G526" s="18">
        <f>1232.46+96078.39</f>
        <v>97310.85</v>
      </c>
      <c r="H526" s="18">
        <f>53625.75+203358.5</f>
        <v>256984.25</v>
      </c>
      <c r="I526" s="18">
        <v>3757.98</v>
      </c>
      <c r="J526" s="18"/>
      <c r="K526" s="18"/>
      <c r="L526" s="88">
        <f>SUM(F526:K526)</f>
        <v>566490.14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208437.06</v>
      </c>
      <c r="G529" s="89">
        <f t="shared" ref="G529:L529" si="37">SUM(G526:G528)</f>
        <v>97310.85</v>
      </c>
      <c r="H529" s="89">
        <f t="shared" si="37"/>
        <v>256984.25</v>
      </c>
      <c r="I529" s="89">
        <f t="shared" si="37"/>
        <v>3757.98</v>
      </c>
      <c r="J529" s="89">
        <f t="shared" si="37"/>
        <v>0</v>
      </c>
      <c r="K529" s="89">
        <f t="shared" si="37"/>
        <v>0</v>
      </c>
      <c r="L529" s="89">
        <f t="shared" si="37"/>
        <v>566490.14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110419.1</v>
      </c>
      <c r="G531" s="18">
        <v>60177.27</v>
      </c>
      <c r="H531" s="18">
        <v>4347.2700000000004</v>
      </c>
      <c r="I531" s="18">
        <v>563.32000000000005</v>
      </c>
      <c r="J531" s="18">
        <v>731.48</v>
      </c>
      <c r="K531" s="18">
        <v>875</v>
      </c>
      <c r="L531" s="88">
        <f>SUM(F531:K531)</f>
        <v>177113.44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110419.1</v>
      </c>
      <c r="G534" s="89">
        <f t="shared" ref="G534:L534" si="38">SUM(G531:G533)</f>
        <v>60177.27</v>
      </c>
      <c r="H534" s="89">
        <f t="shared" si="38"/>
        <v>4347.2700000000004</v>
      </c>
      <c r="I534" s="89">
        <f t="shared" si="38"/>
        <v>563.32000000000005</v>
      </c>
      <c r="J534" s="89">
        <f t="shared" si="38"/>
        <v>731.48</v>
      </c>
      <c r="K534" s="89">
        <f t="shared" si="38"/>
        <v>875</v>
      </c>
      <c r="L534" s="89">
        <f t="shared" si="38"/>
        <v>177113.44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213709.81</v>
      </c>
      <c r="I541" s="18"/>
      <c r="J541" s="18"/>
      <c r="K541" s="18"/>
      <c r="L541" s="88">
        <f>SUM(F541:K541)</f>
        <v>213709.81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104310.74</v>
      </c>
      <c r="I543" s="18"/>
      <c r="J543" s="18"/>
      <c r="K543" s="18"/>
      <c r="L543" s="88">
        <f>SUM(F543:K543)</f>
        <v>104310.74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318020.55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318020.55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822396.6</v>
      </c>
      <c r="G545" s="89">
        <f t="shared" ref="G545:L545" si="41">G524+G529+G534+G539+G544</f>
        <v>366172.34</v>
      </c>
      <c r="H545" s="89">
        <f t="shared" si="41"/>
        <v>2277288.66</v>
      </c>
      <c r="I545" s="89">
        <f t="shared" si="41"/>
        <v>14914.189999999999</v>
      </c>
      <c r="J545" s="89">
        <f t="shared" si="41"/>
        <v>13120.869999999999</v>
      </c>
      <c r="K545" s="89">
        <f t="shared" si="41"/>
        <v>875</v>
      </c>
      <c r="L545" s="89">
        <f t="shared" si="41"/>
        <v>3494767.66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854730.6399999999</v>
      </c>
      <c r="G549" s="87">
        <f>L526</f>
        <v>566490.14</v>
      </c>
      <c r="H549" s="87">
        <f>L531</f>
        <v>177113.44</v>
      </c>
      <c r="I549" s="87">
        <f>L536</f>
        <v>0</v>
      </c>
      <c r="J549" s="87">
        <f>L541</f>
        <v>213709.81</v>
      </c>
      <c r="K549" s="87">
        <f>SUM(F549:J549)</f>
        <v>1812044.0299999998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47195.8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47195.8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1531217.09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104310.74</v>
      </c>
      <c r="K551" s="87">
        <f>SUM(F551:J551)</f>
        <v>1635527.83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2433143.5300000003</v>
      </c>
      <c r="G552" s="89">
        <f t="shared" si="42"/>
        <v>566490.14</v>
      </c>
      <c r="H552" s="89">
        <f t="shared" si="42"/>
        <v>177113.44</v>
      </c>
      <c r="I552" s="89">
        <f t="shared" si="42"/>
        <v>0</v>
      </c>
      <c r="J552" s="89">
        <f t="shared" si="42"/>
        <v>318020.55</v>
      </c>
      <c r="K552" s="89">
        <f t="shared" si="42"/>
        <v>3494767.66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30322.73</v>
      </c>
      <c r="G562" s="18">
        <v>2410.7199999999998</v>
      </c>
      <c r="H562" s="18"/>
      <c r="I562" s="18"/>
      <c r="J562" s="18"/>
      <c r="K562" s="18"/>
      <c r="L562" s="88">
        <f>SUM(F562:K562)</f>
        <v>32733.45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30322.73</v>
      </c>
      <c r="G565" s="89">
        <f t="shared" si="44"/>
        <v>2410.7199999999998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32733.45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>
        <v>23863.599999999999</v>
      </c>
      <c r="I567" s="18"/>
      <c r="J567" s="18"/>
      <c r="K567" s="18"/>
      <c r="L567" s="88">
        <f>SUM(F567:K567)</f>
        <v>23863.599999999999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23863.599999999999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23863.599999999999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30322.73</v>
      </c>
      <c r="G571" s="89">
        <f t="shared" ref="G571:L571" si="46">G560+G565+G570</f>
        <v>2410.7199999999998</v>
      </c>
      <c r="H571" s="89">
        <f t="shared" si="46"/>
        <v>23863.599999999999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56597.05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32912</v>
      </c>
      <c r="I575" s="87">
        <f>SUM(F575:H575)</f>
        <v>32912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2946553.75</v>
      </c>
      <c r="I577" s="87">
        <f t="shared" si="47"/>
        <v>2946553.75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15155</v>
      </c>
      <c r="G579" s="18"/>
      <c r="H579" s="18"/>
      <c r="I579" s="87">
        <f t="shared" si="47"/>
        <v>15155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836580.23</v>
      </c>
      <c r="I581" s="87">
        <f t="shared" si="47"/>
        <v>836580.23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80506.100000000006</v>
      </c>
      <c r="G582" s="18">
        <v>47195.8</v>
      </c>
      <c r="H582" s="18">
        <v>562323.66</v>
      </c>
      <c r="I582" s="87">
        <f t="shared" si="47"/>
        <v>690025.56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284887.38</v>
      </c>
      <c r="I591" s="18"/>
      <c r="J591" s="18">
        <v>135348.79</v>
      </c>
      <c r="K591" s="104">
        <f t="shared" ref="K591:K597" si="48">SUM(H591:J591)</f>
        <v>420236.17000000004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213709.81</v>
      </c>
      <c r="I592" s="18"/>
      <c r="J592" s="18">
        <v>104310.74</v>
      </c>
      <c r="K592" s="104">
        <f t="shared" si="48"/>
        <v>318020.55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9635.2999999999993</v>
      </c>
      <c r="I594" s="18"/>
      <c r="J594" s="18"/>
      <c r="K594" s="104">
        <f t="shared" si="48"/>
        <v>9635.2999999999993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6217.7</v>
      </c>
      <c r="I595" s="18"/>
      <c r="J595" s="18"/>
      <c r="K595" s="104">
        <f t="shared" si="48"/>
        <v>6217.7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514450.19</v>
      </c>
      <c r="I598" s="108">
        <f>SUM(I591:I597)</f>
        <v>0</v>
      </c>
      <c r="J598" s="108">
        <f>SUM(J591:J597)</f>
        <v>239659.53000000003</v>
      </c>
      <c r="K598" s="108">
        <f>SUM(K591:K597)</f>
        <v>754109.72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142007.07999999999</v>
      </c>
      <c r="I604" s="18"/>
      <c r="J604" s="18"/>
      <c r="K604" s="104">
        <f>SUM(H604:J604)</f>
        <v>142007.07999999999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142007.07999999999</v>
      </c>
      <c r="I605" s="108">
        <f>SUM(I602:I604)</f>
        <v>0</v>
      </c>
      <c r="J605" s="108">
        <f>SUM(J602:J604)</f>
        <v>0</v>
      </c>
      <c r="K605" s="108">
        <f>SUM(K602:K604)</f>
        <v>142007.07999999999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7225</v>
      </c>
      <c r="G611" s="18">
        <v>1546.57</v>
      </c>
      <c r="H611" s="18"/>
      <c r="I611" s="18">
        <v>393.89</v>
      </c>
      <c r="J611" s="18"/>
      <c r="K611" s="18"/>
      <c r="L611" s="88">
        <f>SUM(F611:K611)</f>
        <v>9165.4599999999991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7225</v>
      </c>
      <c r="G614" s="108">
        <f t="shared" si="49"/>
        <v>1546.57</v>
      </c>
      <c r="H614" s="108">
        <f t="shared" si="49"/>
        <v>0</v>
      </c>
      <c r="I614" s="108">
        <f t="shared" si="49"/>
        <v>393.89</v>
      </c>
      <c r="J614" s="108">
        <f t="shared" si="49"/>
        <v>0</v>
      </c>
      <c r="K614" s="108">
        <f t="shared" si="49"/>
        <v>0</v>
      </c>
      <c r="L614" s="89">
        <f t="shared" si="49"/>
        <v>9165.4599999999991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1018377.7400000001</v>
      </c>
      <c r="H617" s="109">
        <f>SUM(F52)</f>
        <v>1018377.74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74932.26999999999</v>
      </c>
      <c r="H618" s="109">
        <f>SUM(G52)</f>
        <v>74932.26999999999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58214.93</v>
      </c>
      <c r="H619" s="109">
        <f>SUM(H52)</f>
        <v>58214.93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14312341.09</v>
      </c>
      <c r="H620" s="109">
        <f>SUM(I52)</f>
        <v>14312341.09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283817.3</v>
      </c>
      <c r="H621" s="109">
        <f>SUM(J52)</f>
        <v>283817.3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814374.69</v>
      </c>
      <c r="H622" s="109">
        <f>F476</f>
        <v>814374.69000000134</v>
      </c>
      <c r="I622" s="121" t="s">
        <v>101</v>
      </c>
      <c r="J622" s="109">
        <f t="shared" ref="J622:J655" si="50">G622-H622</f>
        <v>-1.3969838619232178E-9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68809.739999999991</v>
      </c>
      <c r="H623" s="109">
        <f>G476</f>
        <v>68809.739999999991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14312341.09</v>
      </c>
      <c r="H625" s="109">
        <f>I476</f>
        <v>14312341.09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283817.3</v>
      </c>
      <c r="H626" s="109">
        <f>J476</f>
        <v>283817.3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13253244.640000001</v>
      </c>
      <c r="H627" s="104">
        <f>SUM(F468)</f>
        <v>13253244.640000001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215470.39</v>
      </c>
      <c r="H628" s="104">
        <f>SUM(G468)</f>
        <v>215470.39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265975.30999999994</v>
      </c>
      <c r="H629" s="104">
        <f>SUM(H468)</f>
        <v>265975.31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14312341.09</v>
      </c>
      <c r="H630" s="104">
        <f>SUM(I468)</f>
        <v>14312341.09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1119.6400000000001</v>
      </c>
      <c r="H631" s="104">
        <f>SUM(J468)</f>
        <v>1119.6400000000001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12545170.699999999</v>
      </c>
      <c r="H632" s="104">
        <f>SUM(F472)</f>
        <v>12545170.699999999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265975.30999999994</v>
      </c>
      <c r="H633" s="104">
        <f>SUM(H472)</f>
        <v>265975.31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100948.47</v>
      </c>
      <c r="H634" s="104">
        <f>I369</f>
        <v>100948.47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227862.24</v>
      </c>
      <c r="H635" s="104">
        <f>SUM(G472)</f>
        <v>227862.24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1119.6399999999999</v>
      </c>
      <c r="H637" s="164">
        <f>SUM(J468)</f>
        <v>1119.6400000000001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19350</v>
      </c>
      <c r="H638" s="164">
        <f>SUM(J472)</f>
        <v>19350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283817.3</v>
      </c>
      <c r="H640" s="104">
        <f>SUM(G461)</f>
        <v>283817.3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283817.3</v>
      </c>
      <c r="H642" s="104">
        <f>SUM(I461)</f>
        <v>283817.3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1119.6400000000001</v>
      </c>
      <c r="H644" s="104">
        <f>H408</f>
        <v>1119.6399999999999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1119.6400000000001</v>
      </c>
      <c r="H646" s="104">
        <f>L408</f>
        <v>1119.6399999999999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754109.72</v>
      </c>
      <c r="H647" s="104">
        <f>L208+L226+L244</f>
        <v>754109.72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142007.07999999999</v>
      </c>
      <c r="H648" s="104">
        <f>(J257+J338)-(J255+J336)</f>
        <v>142007.07999999999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514450.19</v>
      </c>
      <c r="H649" s="104">
        <f>H598</f>
        <v>514450.19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239659.53</v>
      </c>
      <c r="H651" s="104">
        <f>J598</f>
        <v>239659.53000000003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8194439.0799999991</v>
      </c>
      <c r="G660" s="19">
        <f>(L229+L309+L359)</f>
        <v>47195.8</v>
      </c>
      <c r="H660" s="19">
        <f>(L247+L328+L360)</f>
        <v>4792655.37</v>
      </c>
      <c r="I660" s="19">
        <f>SUM(F660:H660)</f>
        <v>13034290.25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163564.34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163564.34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514450.19</v>
      </c>
      <c r="G662" s="19">
        <f>(L226+L306)-(J226+J306)</f>
        <v>0</v>
      </c>
      <c r="H662" s="19">
        <f>(L244+L325)-(J244+J325)</f>
        <v>239659.53</v>
      </c>
      <c r="I662" s="19">
        <f>SUM(F662:H662)</f>
        <v>754109.72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246833.63999999998</v>
      </c>
      <c r="G663" s="199">
        <f>SUM(G575:G587)+SUM(I602:I604)+L612</f>
        <v>47195.8</v>
      </c>
      <c r="H663" s="199">
        <f>SUM(H575:H587)+SUM(J602:J604)+L613</f>
        <v>4378369.6399999997</v>
      </c>
      <c r="I663" s="19">
        <f>SUM(F663:H663)</f>
        <v>4672399.08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7269590.9099999992</v>
      </c>
      <c r="G664" s="19">
        <f>G660-SUM(G661:G663)</f>
        <v>0</v>
      </c>
      <c r="H664" s="19">
        <f>H660-SUM(H661:H663)</f>
        <v>174626.20000000019</v>
      </c>
      <c r="I664" s="19">
        <f>I660-SUM(I661:I663)</f>
        <v>7444217.1100000003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583.33000000000004</v>
      </c>
      <c r="G665" s="248"/>
      <c r="H665" s="248"/>
      <c r="I665" s="19">
        <f>SUM(F665:H665)</f>
        <v>583.33000000000004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12462.23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12761.59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-174626.2</v>
      </c>
      <c r="I669" s="19">
        <f>SUM(F669:H669)</f>
        <v>-174626.2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12462.23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12462.23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24" sqref="F2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Auburn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2331237.7599999998</v>
      </c>
      <c r="C9" s="229">
        <f>'DOE25'!G197+'DOE25'!G215+'DOE25'!G233+'DOE25'!G276+'DOE25'!G295+'DOE25'!G314</f>
        <v>1173396.25</v>
      </c>
    </row>
    <row r="10" spans="1:3" x14ac:dyDescent="0.2">
      <c r="A10" t="s">
        <v>773</v>
      </c>
      <c r="B10" s="240">
        <f>2230458.72+30576</f>
        <v>2261034.7200000002</v>
      </c>
      <c r="C10" s="240">
        <f>1121708.26+2141.51+5308+20997.49</f>
        <v>1150155.26</v>
      </c>
    </row>
    <row r="11" spans="1:3" x14ac:dyDescent="0.2">
      <c r="A11" t="s">
        <v>774</v>
      </c>
      <c r="B11" s="240">
        <f>41767.2</f>
        <v>41767.199999999997</v>
      </c>
      <c r="C11" s="240">
        <f>21065.65</f>
        <v>21065.65</v>
      </c>
    </row>
    <row r="12" spans="1:3" x14ac:dyDescent="0.2">
      <c r="A12" t="s">
        <v>775</v>
      </c>
      <c r="B12" s="240">
        <f>28435.84</f>
        <v>28435.84</v>
      </c>
      <c r="C12" s="240">
        <f>2175.34</f>
        <v>2175.34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2331237.7600000002</v>
      </c>
      <c r="C13" s="231">
        <f>SUM(C10:C12)</f>
        <v>1173396.25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613959.54</v>
      </c>
      <c r="C18" s="229">
        <f>'DOE25'!G198+'DOE25'!G216+'DOE25'!G234+'DOE25'!G277+'DOE25'!G296+'DOE25'!G315</f>
        <v>268861.49</v>
      </c>
    </row>
    <row r="19" spans="1:3" x14ac:dyDescent="0.2">
      <c r="A19" t="s">
        <v>773</v>
      </c>
      <c r="B19" s="240">
        <f>267597.77+38900</f>
        <v>306497.77</v>
      </c>
      <c r="C19" s="240">
        <f>173109.46+2875.91+6753</f>
        <v>182738.37</v>
      </c>
    </row>
    <row r="20" spans="1:3" x14ac:dyDescent="0.2">
      <c r="A20" t="s">
        <v>774</v>
      </c>
      <c r="B20" s="240">
        <f>168039.52+29003.15</f>
        <v>197042.66999999998</v>
      </c>
      <c r="C20" s="240">
        <f>35492.29+2144.21</f>
        <v>37636.5</v>
      </c>
    </row>
    <row r="21" spans="1:3" x14ac:dyDescent="0.2">
      <c r="A21" t="s">
        <v>775</v>
      </c>
      <c r="B21" s="240">
        <f>110419.1</f>
        <v>110419.1</v>
      </c>
      <c r="C21" s="240">
        <f>46676.18+1810.44</f>
        <v>48486.62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613959.54</v>
      </c>
      <c r="C22" s="231">
        <f>SUM(C19:C21)</f>
        <v>268861.49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39417</v>
      </c>
      <c r="C36" s="235">
        <f>'DOE25'!G200+'DOE25'!G218+'DOE25'!G236+'DOE25'!G279+'DOE25'!G298+'DOE25'!G317</f>
        <v>7413.82</v>
      </c>
    </row>
    <row r="37" spans="1:3" x14ac:dyDescent="0.2">
      <c r="A37" t="s">
        <v>773</v>
      </c>
      <c r="B37" s="240">
        <v>27117</v>
      </c>
      <c r="C37" s="240">
        <v>6474.3</v>
      </c>
    </row>
    <row r="38" spans="1:3" x14ac:dyDescent="0.2">
      <c r="A38" t="s">
        <v>774</v>
      </c>
      <c r="B38" s="240">
        <v>1000</v>
      </c>
      <c r="C38" s="240">
        <v>76.38</v>
      </c>
    </row>
    <row r="39" spans="1:3" x14ac:dyDescent="0.2">
      <c r="A39" t="s">
        <v>775</v>
      </c>
      <c r="B39" s="240">
        <v>11300</v>
      </c>
      <c r="C39" s="240">
        <v>863.14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39417</v>
      </c>
      <c r="C40" s="231">
        <f>SUM(C37:C39)</f>
        <v>7413.8200000000006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Auburn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9330788.1199999992</v>
      </c>
      <c r="D5" s="20">
        <f>SUM('DOE25'!L197:L200)+SUM('DOE25'!L215:L218)+SUM('DOE25'!L233:L236)-F5-G5</f>
        <v>9294051.6099999994</v>
      </c>
      <c r="E5" s="243"/>
      <c r="F5" s="255">
        <f>SUM('DOE25'!J197:J200)+SUM('DOE25'!J215:J218)+SUM('DOE25'!J233:J236)</f>
        <v>34189.51</v>
      </c>
      <c r="G5" s="53">
        <f>SUM('DOE25'!K197:K200)+SUM('DOE25'!K215:K218)+SUM('DOE25'!K233:K236)</f>
        <v>2547</v>
      </c>
      <c r="H5" s="259"/>
    </row>
    <row r="6" spans="1:9" x14ac:dyDescent="0.2">
      <c r="A6" s="32">
        <v>2100</v>
      </c>
      <c r="B6" t="s">
        <v>795</v>
      </c>
      <c r="C6" s="245">
        <f t="shared" si="0"/>
        <v>644937.45999999985</v>
      </c>
      <c r="D6" s="20">
        <f>'DOE25'!L202+'DOE25'!L220+'DOE25'!L238-F6-G6</f>
        <v>642594.85999999987</v>
      </c>
      <c r="E6" s="243"/>
      <c r="F6" s="255">
        <f>'DOE25'!J202+'DOE25'!J220+'DOE25'!J238</f>
        <v>0</v>
      </c>
      <c r="G6" s="53">
        <f>'DOE25'!K202+'DOE25'!K220+'DOE25'!K238</f>
        <v>2342.6</v>
      </c>
      <c r="H6" s="259"/>
    </row>
    <row r="7" spans="1:9" x14ac:dyDescent="0.2">
      <c r="A7" s="32">
        <v>2200</v>
      </c>
      <c r="B7" t="s">
        <v>828</v>
      </c>
      <c r="C7" s="245">
        <f t="shared" si="0"/>
        <v>235485.68</v>
      </c>
      <c r="D7" s="20">
        <f>'DOE25'!L203+'DOE25'!L221+'DOE25'!L239-F7-G7</f>
        <v>235400.68</v>
      </c>
      <c r="E7" s="243"/>
      <c r="F7" s="255">
        <f>'DOE25'!J203+'DOE25'!J221+'DOE25'!J239</f>
        <v>0</v>
      </c>
      <c r="G7" s="53">
        <f>'DOE25'!K203+'DOE25'!K221+'DOE25'!K239</f>
        <v>85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176828.96000000002</v>
      </c>
      <c r="D8" s="243"/>
      <c r="E8" s="20">
        <f>'DOE25'!L204+'DOE25'!L222+'DOE25'!L240-F8-G8-D9-D11</f>
        <v>172734.60000000003</v>
      </c>
      <c r="F8" s="255">
        <f>'DOE25'!J204+'DOE25'!J222+'DOE25'!J240</f>
        <v>0</v>
      </c>
      <c r="G8" s="53">
        <f>'DOE25'!K204+'DOE25'!K222+'DOE25'!K240</f>
        <v>4094.36</v>
      </c>
      <c r="H8" s="259"/>
    </row>
    <row r="9" spans="1:9" x14ac:dyDescent="0.2">
      <c r="A9" s="32">
        <v>2310</v>
      </c>
      <c r="B9" t="s">
        <v>812</v>
      </c>
      <c r="C9" s="245">
        <f t="shared" si="0"/>
        <v>51847.839999999997</v>
      </c>
      <c r="D9" s="244">
        <v>51847.839999999997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7110</v>
      </c>
      <c r="D10" s="243"/>
      <c r="E10" s="244">
        <v>7110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110200.04</v>
      </c>
      <c r="D11" s="244">
        <v>110200.04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414636.68</v>
      </c>
      <c r="D12" s="20">
        <f>'DOE25'!L205+'DOE25'!L223+'DOE25'!L241-F12-G12</f>
        <v>411507.19</v>
      </c>
      <c r="E12" s="243"/>
      <c r="F12" s="255">
        <f>'DOE25'!J205+'DOE25'!J223+'DOE25'!J241</f>
        <v>1862.99</v>
      </c>
      <c r="G12" s="53">
        <f>'DOE25'!K205+'DOE25'!K223+'DOE25'!K241</f>
        <v>1266.5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610676.07999999996</v>
      </c>
      <c r="D14" s="20">
        <f>'DOE25'!L207+'DOE25'!L225+'DOE25'!L243-F14-G14</f>
        <v>608641.72</v>
      </c>
      <c r="E14" s="243"/>
      <c r="F14" s="255">
        <f>'DOE25'!J207+'DOE25'!J225+'DOE25'!J243</f>
        <v>2034.36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754109.72</v>
      </c>
      <c r="D15" s="20">
        <f>'DOE25'!L208+'DOE25'!L226+'DOE25'!L244-F15-G15</f>
        <v>754109.72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210942.12</v>
      </c>
      <c r="D16" s="243"/>
      <c r="E16" s="20">
        <f>'DOE25'!L209+'DOE25'!L227+'DOE25'!L245-F16-G16</f>
        <v>139536.85999999999</v>
      </c>
      <c r="F16" s="255">
        <f>'DOE25'!J209+'DOE25'!J227+'DOE25'!J245</f>
        <v>71405.259999999995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4718</v>
      </c>
      <c r="D22" s="243"/>
      <c r="E22" s="243"/>
      <c r="F22" s="255">
        <f>'DOE25'!L255+'DOE25'!L336</f>
        <v>4718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136140.94</v>
      </c>
      <c r="D29" s="20">
        <f>'DOE25'!L358+'DOE25'!L359+'DOE25'!L360-'DOE25'!I367-F29-G29</f>
        <v>101127.38</v>
      </c>
      <c r="E29" s="243"/>
      <c r="F29" s="255">
        <f>'DOE25'!J358+'DOE25'!J359+'DOE25'!J360</f>
        <v>34413.56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265975.30999999994</v>
      </c>
      <c r="D31" s="20">
        <f>'DOE25'!L290+'DOE25'!L309+'DOE25'!L328+'DOE25'!L333+'DOE25'!L334+'DOE25'!L335-F31-G31</f>
        <v>228541.96999999994</v>
      </c>
      <c r="E31" s="243"/>
      <c r="F31" s="255">
        <f>'DOE25'!J290+'DOE25'!J309+'DOE25'!J328+'DOE25'!J333+'DOE25'!J334+'DOE25'!J335</f>
        <v>32514.960000000003</v>
      </c>
      <c r="G31" s="53">
        <f>'DOE25'!K290+'DOE25'!K309+'DOE25'!K328+'DOE25'!K333+'DOE25'!K334+'DOE25'!K335</f>
        <v>4918.38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12438023.01</v>
      </c>
      <c r="E33" s="246">
        <f>SUM(E5:E31)</f>
        <v>319381.46000000002</v>
      </c>
      <c r="F33" s="246">
        <f>SUM(F5:F31)</f>
        <v>181138.63999999998</v>
      </c>
      <c r="G33" s="246">
        <f>SUM(G5:G31)</f>
        <v>15853.84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319381.46000000002</v>
      </c>
      <c r="E35" s="249"/>
    </row>
    <row r="36" spans="2:8" ht="12" thickTop="1" x14ac:dyDescent="0.2">
      <c r="B36" t="s">
        <v>809</v>
      </c>
      <c r="D36" s="20">
        <f>D33</f>
        <v>12438023.01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959891.14</v>
      </c>
      <c r="D8" s="95">
        <f>'DOE25'!G9</f>
        <v>0</v>
      </c>
      <c r="E8" s="95">
        <f>'DOE25'!H9</f>
        <v>0</v>
      </c>
      <c r="F8" s="95">
        <f>'DOE25'!I9</f>
        <v>14312341.09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54960.93</v>
      </c>
      <c r="D11" s="95">
        <f>'DOE25'!G12</f>
        <v>72995.09</v>
      </c>
      <c r="E11" s="95">
        <f>'DOE25'!H12</f>
        <v>0</v>
      </c>
      <c r="F11" s="95">
        <f>'DOE25'!I12</f>
        <v>0</v>
      </c>
      <c r="G11" s="95">
        <f>'DOE25'!J12</f>
        <v>283817.3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3525.67</v>
      </c>
      <c r="D12" s="95">
        <f>'DOE25'!G13</f>
        <v>1937.18</v>
      </c>
      <c r="E12" s="95">
        <f>'DOE25'!H13</f>
        <v>58214.93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1018377.7400000001</v>
      </c>
      <c r="D18" s="41">
        <f>SUM(D8:D17)</f>
        <v>74932.26999999999</v>
      </c>
      <c r="E18" s="41">
        <f>SUM(E8:E17)</f>
        <v>58214.93</v>
      </c>
      <c r="F18" s="41">
        <f>SUM(F8:F17)</f>
        <v>14312341.09</v>
      </c>
      <c r="G18" s="41">
        <f>SUM(G8:G17)</f>
        <v>283817.3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72995.09</v>
      </c>
      <c r="D21" s="95">
        <f>'DOE25'!G22</f>
        <v>0</v>
      </c>
      <c r="E21" s="95">
        <f>'DOE25'!H22</f>
        <v>54960.93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123712.36</v>
      </c>
      <c r="D23" s="95">
        <f>'DOE25'!G24</f>
        <v>50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7295.6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6072.53</v>
      </c>
      <c r="E29" s="95">
        <f>'DOE25'!H30</f>
        <v>3254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204003.05000000002</v>
      </c>
      <c r="D31" s="41">
        <f>SUM(D21:D30)</f>
        <v>6122.53</v>
      </c>
      <c r="E31" s="41">
        <f>SUM(E21:E30)</f>
        <v>58214.93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14312341.09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12600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56209.74</v>
      </c>
      <c r="E47" s="95">
        <f>'DOE25'!H48</f>
        <v>0</v>
      </c>
      <c r="F47" s="95">
        <f>'DOE25'!I48</f>
        <v>0</v>
      </c>
      <c r="G47" s="95">
        <f>'DOE25'!J48</f>
        <v>283817.3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118876.7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695497.99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814374.69</v>
      </c>
      <c r="D50" s="41">
        <f>SUM(D34:D49)</f>
        <v>68809.739999999991</v>
      </c>
      <c r="E50" s="41">
        <f>SUM(E34:E49)</f>
        <v>0</v>
      </c>
      <c r="F50" s="41">
        <f>SUM(F34:F49)</f>
        <v>14312341.09</v>
      </c>
      <c r="G50" s="41">
        <f>SUM(G34:G49)</f>
        <v>283817.3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1018377.74</v>
      </c>
      <c r="D51" s="41">
        <f>D50+D31</f>
        <v>74932.26999999999</v>
      </c>
      <c r="E51" s="41">
        <f>E50+E31</f>
        <v>58214.93</v>
      </c>
      <c r="F51" s="41">
        <f>F50+F31</f>
        <v>14312341.09</v>
      </c>
      <c r="G51" s="41">
        <f>G50+G31</f>
        <v>283817.3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9147577.0399999991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202.46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1119.6400000000001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163564.34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15470</v>
      </c>
      <c r="D61" s="95">
        <f>SUM('DOE25'!G98:G110)</f>
        <v>0</v>
      </c>
      <c r="E61" s="95">
        <f>SUM('DOE25'!H98:H110)</f>
        <v>200.1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15927.46</v>
      </c>
      <c r="D62" s="130">
        <f>SUM(D57:D61)</f>
        <v>163564.34</v>
      </c>
      <c r="E62" s="130">
        <f>SUM(E57:E61)</f>
        <v>200.1</v>
      </c>
      <c r="F62" s="130">
        <f>SUM(F57:F61)</f>
        <v>0</v>
      </c>
      <c r="G62" s="130">
        <f>SUM(G57:G61)</f>
        <v>1119.6400000000001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9163504.5</v>
      </c>
      <c r="D63" s="22">
        <f>D56+D62</f>
        <v>163564.34</v>
      </c>
      <c r="E63" s="22">
        <f>E56+E62</f>
        <v>200.1</v>
      </c>
      <c r="F63" s="22">
        <f>F56+F62</f>
        <v>0</v>
      </c>
      <c r="G63" s="22">
        <f>G56+G62</f>
        <v>1119.6400000000001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2156021.67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1584249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17953.669999999998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3758224.34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242396.14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3175.25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242396.14</v>
      </c>
      <c r="D78" s="130">
        <f>SUM(D72:D77)</f>
        <v>3175.25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4000620.48</v>
      </c>
      <c r="D81" s="130">
        <f>SUM(D79:D80)+D78+D70</f>
        <v>3175.25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89119.66</v>
      </c>
      <c r="D88" s="95">
        <f>SUM('DOE25'!G153:G161)</f>
        <v>48730.8</v>
      </c>
      <c r="E88" s="95">
        <f>SUM('DOE25'!H153:H161)</f>
        <v>265355.20999999996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420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89119.66</v>
      </c>
      <c r="D91" s="131">
        <f>SUM(D85:D90)</f>
        <v>48730.8</v>
      </c>
      <c r="E91" s="131">
        <f>SUM(E85:E90)</f>
        <v>265775.20999999996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14312341.09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14312341.09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13253244.640000001</v>
      </c>
      <c r="D104" s="86">
        <f>D63+D81+D91+D103</f>
        <v>215470.39</v>
      </c>
      <c r="E104" s="86">
        <f>E63+E81+E91+E103</f>
        <v>265975.30999999994</v>
      </c>
      <c r="F104" s="86">
        <f>F63+F81+F91+F103</f>
        <v>14312341.09</v>
      </c>
      <c r="G104" s="86">
        <f>G63+G81+G103</f>
        <v>1119.6400000000001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6619521.6999999993</v>
      </c>
      <c r="D109" s="24" t="s">
        <v>286</v>
      </c>
      <c r="E109" s="95">
        <f>('DOE25'!L276)+('DOE25'!L295)+('DOE25'!L314)</f>
        <v>42119.19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2649556.5099999998</v>
      </c>
      <c r="D110" s="24" t="s">
        <v>286</v>
      </c>
      <c r="E110" s="95">
        <f>('DOE25'!L277)+('DOE25'!L296)+('DOE25'!L315)</f>
        <v>119467.20999999998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61709.91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9330788.1199999992</v>
      </c>
      <c r="D115" s="86">
        <f>SUM(D109:D114)</f>
        <v>0</v>
      </c>
      <c r="E115" s="86">
        <f>SUM(E109:E114)</f>
        <v>161586.39999999997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644937.45999999985</v>
      </c>
      <c r="D118" s="24" t="s">
        <v>286</v>
      </c>
      <c r="E118" s="95">
        <f>+('DOE25'!L281)+('DOE25'!L300)+('DOE25'!L319)</f>
        <v>43531.94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235485.68</v>
      </c>
      <c r="D119" s="24" t="s">
        <v>286</v>
      </c>
      <c r="E119" s="95">
        <f>+('DOE25'!L282)+('DOE25'!L301)+('DOE25'!L320)</f>
        <v>17330.870000000003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338876.83999999997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414636.68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4918.38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610676.07999999996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754109.72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210942.12</v>
      </c>
      <c r="D125" s="24" t="s">
        <v>286</v>
      </c>
      <c r="E125" s="95">
        <f>+('DOE25'!L288)+('DOE25'!L307)+('DOE25'!L326)</f>
        <v>38607.72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227862.24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3209664.58</v>
      </c>
      <c r="D128" s="86">
        <f>SUM(D118:D127)</f>
        <v>227862.24</v>
      </c>
      <c r="E128" s="86">
        <f>SUM(E118:E127)</f>
        <v>104388.91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4718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969.88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149.76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-1119.6399999999999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4718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12545170.699999999</v>
      </c>
      <c r="D145" s="86">
        <f>(D115+D128+D144)</f>
        <v>227862.24</v>
      </c>
      <c r="E145" s="86">
        <f>(E115+E128+E144)</f>
        <v>265975.30999999994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6/13/18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8/15/33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14300000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14300000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13141000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13141000</v>
      </c>
    </row>
    <row r="160" spans="1:9" x14ac:dyDescent="0.2">
      <c r="A160" s="22" t="s">
        <v>36</v>
      </c>
      <c r="B160" s="137">
        <f>'DOE25'!F499</f>
        <v>4893235.3499999996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4893235.3499999996</v>
      </c>
    </row>
    <row r="161" spans="1:7" x14ac:dyDescent="0.2">
      <c r="A161" s="22" t="s">
        <v>37</v>
      </c>
      <c r="B161" s="137">
        <f>'DOE25'!F500</f>
        <v>18034235.350000001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18034235.350000001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393101.1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393101.1</v>
      </c>
    </row>
    <row r="164" spans="1:7" x14ac:dyDescent="0.2">
      <c r="A164" s="22" t="s">
        <v>246</v>
      </c>
      <c r="B164" s="137">
        <f>'DOE25'!F503</f>
        <v>393101.1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393101.1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Auburn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12462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12462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6661641</v>
      </c>
      <c r="D10" s="182">
        <f>ROUND((C10/$C$28)*100,1)</f>
        <v>51.8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2769024</v>
      </c>
      <c r="D11" s="182">
        <f>ROUND((C11/$C$28)*100,1)</f>
        <v>21.5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61710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688469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252817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588427</v>
      </c>
      <c r="D17" s="182">
        <f t="shared" si="0"/>
        <v>4.5999999999999996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414637</v>
      </c>
      <c r="D18" s="182">
        <f t="shared" si="0"/>
        <v>3.2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4918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610676</v>
      </c>
      <c r="D20" s="182">
        <f t="shared" si="0"/>
        <v>4.7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754110</v>
      </c>
      <c r="D21" s="182">
        <f t="shared" si="0"/>
        <v>5.9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64297.66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12870726.66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4718</v>
      </c>
    </row>
    <row r="30" spans="1:4" x14ac:dyDescent="0.2">
      <c r="B30" s="187" t="s">
        <v>723</v>
      </c>
      <c r="C30" s="180">
        <f>SUM(C28:C29)</f>
        <v>12875444.66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9147577</v>
      </c>
      <c r="D35" s="182">
        <f t="shared" ref="D35:D40" si="1">ROUND((C35/$C$41)*100,1)</f>
        <v>67.3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29588.330000000075</v>
      </c>
      <c r="D36" s="182">
        <f t="shared" si="1"/>
        <v>0.2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3740271</v>
      </c>
      <c r="D37" s="182">
        <f t="shared" si="1"/>
        <v>27.5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263525</v>
      </c>
      <c r="D38" s="182">
        <f t="shared" si="1"/>
        <v>1.9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403626</v>
      </c>
      <c r="D39" s="182">
        <f t="shared" si="1"/>
        <v>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13584587.33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14300000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Auburn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2018-09-26T19:02:52Z</cp:lastPrinted>
  <dcterms:created xsi:type="dcterms:W3CDTF">1997-12-04T19:04:30Z</dcterms:created>
  <dcterms:modified xsi:type="dcterms:W3CDTF">2018-11-13T18:42:57Z</dcterms:modified>
</cp:coreProperties>
</file>