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18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E8" i="13" s="1"/>
  <c r="C8" i="13" s="1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J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2" i="10"/>
  <c r="C16" i="10"/>
  <c r="C17" i="10"/>
  <c r="C18" i="10"/>
  <c r="C19" i="10"/>
  <c r="C20" i="10"/>
  <c r="L250" i="1"/>
  <c r="L332" i="1"/>
  <c r="L254" i="1"/>
  <c r="L268" i="1"/>
  <c r="L269" i="1"/>
  <c r="L349" i="1"/>
  <c r="L350" i="1"/>
  <c r="I665" i="1"/>
  <c r="I670" i="1"/>
  <c r="L229" i="1"/>
  <c r="L247" i="1"/>
  <c r="G661" i="1"/>
  <c r="H661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E128" i="2" s="1"/>
  <c r="C120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J640" i="1" s="1"/>
  <c r="H461" i="1"/>
  <c r="H641" i="1" s="1"/>
  <c r="F470" i="1"/>
  <c r="G470" i="1"/>
  <c r="H470" i="1"/>
  <c r="I470" i="1"/>
  <c r="J470" i="1"/>
  <c r="J476" i="1" s="1"/>
  <c r="H626" i="1" s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K545" i="1" s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G641" i="1"/>
  <c r="J641" i="1" s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I257" i="1"/>
  <c r="I271" i="1" s="1"/>
  <c r="C26" i="10"/>
  <c r="L328" i="1"/>
  <c r="L351" i="1"/>
  <c r="A31" i="12"/>
  <c r="A40" i="12"/>
  <c r="D12" i="13"/>
  <c r="C12" i="13" s="1"/>
  <c r="D62" i="2"/>
  <c r="D63" i="2" s="1"/>
  <c r="D18" i="13"/>
  <c r="C18" i="13" s="1"/>
  <c r="D7" i="13"/>
  <c r="C7" i="13" s="1"/>
  <c r="D17" i="13"/>
  <c r="C17" i="13" s="1"/>
  <c r="C91" i="2"/>
  <c r="F78" i="2"/>
  <c r="F81" i="2" s="1"/>
  <c r="D31" i="2"/>
  <c r="D50" i="2"/>
  <c r="F18" i="2"/>
  <c r="E103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H112" i="1"/>
  <c r="K605" i="1"/>
  <c r="G648" i="1" s="1"/>
  <c r="L419" i="1"/>
  <c r="I169" i="1"/>
  <c r="I476" i="1"/>
  <c r="H625" i="1" s="1"/>
  <c r="J625" i="1" s="1"/>
  <c r="F169" i="1"/>
  <c r="J140" i="1"/>
  <c r="H257" i="1"/>
  <c r="H271" i="1" s="1"/>
  <c r="I552" i="1"/>
  <c r="K550" i="1"/>
  <c r="G22" i="2"/>
  <c r="J552" i="1"/>
  <c r="H552" i="1"/>
  <c r="C29" i="10"/>
  <c r="H140" i="1"/>
  <c r="A13" i="12"/>
  <c r="F22" i="13"/>
  <c r="C22" i="13" s="1"/>
  <c r="H25" i="13"/>
  <c r="C25" i="13" s="1"/>
  <c r="H571" i="1"/>
  <c r="H338" i="1"/>
  <c r="H352" i="1" s="1"/>
  <c r="G192" i="1"/>
  <c r="H192" i="1"/>
  <c r="F552" i="1"/>
  <c r="C35" i="10"/>
  <c r="L309" i="1"/>
  <c r="E16" i="13"/>
  <c r="L570" i="1"/>
  <c r="G36" i="2"/>
  <c r="L565" i="1"/>
  <c r="K551" i="1"/>
  <c r="C16" i="13"/>
  <c r="I661" i="1" l="1"/>
  <c r="C18" i="2"/>
  <c r="F571" i="1"/>
  <c r="I545" i="1"/>
  <c r="K549" i="1"/>
  <c r="J545" i="1"/>
  <c r="L545" i="1"/>
  <c r="G545" i="1"/>
  <c r="K503" i="1"/>
  <c r="G164" i="2"/>
  <c r="G156" i="2"/>
  <c r="J651" i="1"/>
  <c r="K598" i="1"/>
  <c r="G647" i="1" s="1"/>
  <c r="J647" i="1" s="1"/>
  <c r="F476" i="1"/>
  <c r="H622" i="1" s="1"/>
  <c r="J622" i="1" s="1"/>
  <c r="C21" i="10"/>
  <c r="H647" i="1"/>
  <c r="F662" i="1"/>
  <c r="I662" i="1" s="1"/>
  <c r="C13" i="10"/>
  <c r="E109" i="2"/>
  <c r="E115" i="2" s="1"/>
  <c r="L290" i="1"/>
  <c r="L338" i="1" s="1"/>
  <c r="L352" i="1" s="1"/>
  <c r="G633" i="1" s="1"/>
  <c r="J633" i="1" s="1"/>
  <c r="J639" i="1"/>
  <c r="L393" i="1"/>
  <c r="C138" i="2" s="1"/>
  <c r="H408" i="1"/>
  <c r="H644" i="1" s="1"/>
  <c r="J644" i="1" s="1"/>
  <c r="H52" i="1"/>
  <c r="H619" i="1" s="1"/>
  <c r="J619" i="1" s="1"/>
  <c r="C25" i="10"/>
  <c r="H33" i="13"/>
  <c r="H660" i="1"/>
  <c r="H664" i="1" s="1"/>
  <c r="H667" i="1" s="1"/>
  <c r="D15" i="13"/>
  <c r="C15" i="13" s="1"/>
  <c r="C124" i="2"/>
  <c r="L211" i="1"/>
  <c r="C15" i="10"/>
  <c r="C118" i="2"/>
  <c r="C128" i="2" s="1"/>
  <c r="D5" i="13"/>
  <c r="C5" i="13" s="1"/>
  <c r="C110" i="2"/>
  <c r="C115" i="2" s="1"/>
  <c r="K257" i="1"/>
  <c r="K271" i="1" s="1"/>
  <c r="G257" i="1"/>
  <c r="G271" i="1" s="1"/>
  <c r="C62" i="2"/>
  <c r="C63" i="2" s="1"/>
  <c r="F112" i="1"/>
  <c r="J617" i="1"/>
  <c r="G476" i="1"/>
  <c r="H623" i="1" s="1"/>
  <c r="J623" i="1" s="1"/>
  <c r="J634" i="1"/>
  <c r="L362" i="1"/>
  <c r="D145" i="2"/>
  <c r="D18" i="2"/>
  <c r="J645" i="1"/>
  <c r="K552" i="1"/>
  <c r="E33" i="13"/>
  <c r="D35" i="13" s="1"/>
  <c r="G624" i="1"/>
  <c r="K500" i="1"/>
  <c r="C78" i="2"/>
  <c r="C81" i="2" s="1"/>
  <c r="G112" i="1"/>
  <c r="J6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C28" i="10" s="1"/>
  <c r="G635" i="1"/>
  <c r="J635" i="1" s="1"/>
  <c r="H672" i="1" l="1"/>
  <c r="C6" i="10" s="1"/>
  <c r="F660" i="1"/>
  <c r="F664" i="1" s="1"/>
  <c r="F667" i="1" s="1"/>
  <c r="H646" i="1"/>
  <c r="J646" i="1" s="1"/>
  <c r="L257" i="1"/>
  <c r="L271" i="1" s="1"/>
  <c r="G632" i="1" s="1"/>
  <c r="J632" i="1" s="1"/>
  <c r="C145" i="2"/>
  <c r="F672" i="1"/>
  <c r="C4" i="10" s="1"/>
  <c r="C104" i="2"/>
  <c r="D31" i="13"/>
  <c r="C31" i="13" s="1"/>
  <c r="G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0" i="1" l="1"/>
  <c r="I664" i="1" s="1"/>
  <c r="I672" i="1" s="1"/>
  <c r="C7" i="10" s="1"/>
  <c r="H656" i="1"/>
  <c r="D28" i="10"/>
  <c r="C41" i="10"/>
  <c r="D38" i="10" s="1"/>
  <c r="I667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<sst xmlns="http://schemas.openxmlformats.org/spreadsheetml/2006/main" count="3961" uniqueCount="917">
  <si>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</si>
  <si>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</si>
  <si>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</si>
  <si>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</si>
  <si>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</si>
  <si>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</si>
  <si>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</si>
  <si>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</si>
  <si>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</si>
  <si>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</si>
  <si>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</si>
  <si>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</si>
  <si>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</si>
  <si>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</si>
  <si>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</si>
  <si>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</si>
  <si>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</si>
  <si>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</si>
  <si>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</si>
  <si>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</si>
  <si>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</si>
  <si>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</si>
  <si>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</si>
  <si>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</si>
  <si>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</si>
  <si>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</si>
  <si>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</si>
  <si>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</si>
  <si>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</si>
  <si>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</si>
  <si>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</si>
  <si>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</si>
  <si>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</si>
  <si>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</si>
  <si>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</si>
  <si>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</si>
  <si>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</si>
  <si>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</si>
  <si>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</si>
  <si>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</si>
  <si>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</si>
  <si>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</si>
  <si>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</si>
  <si>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</si>
  <si>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</si>
  <si>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</si>
  <si>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</si>
  <si>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</si>
  <si>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</si>
  <si>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</si>
  <si>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</si>
  <si>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</si>
  <si>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</si>
  <si>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</si>
  <si>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</si>
  <si>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</si>
  <si>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</si>
  <si>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</si>
  <si>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</si>
  <si>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</si>
  <si>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</si>
  <si>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</si>
  <si>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</si>
  <si>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</si>
  <si>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</si>
  <si>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</si>
  <si>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</si>
  <si>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</si>
  <si>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</si>
  <si>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</si>
  <si>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</si>
  <si>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</si>
  <si>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</si>
  <si>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</si>
  <si>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</si>
  <si>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</si>
  <si>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</si>
  <si>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</si>
  <si>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</si>
  <si>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</si>
  <si>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</si>
  <si>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</si>
  <si>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</si>
  <si>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</si>
  <si>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</si>
  <si>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</si>
  <si>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</si>
  <si>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</si>
  <si>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</si>
  <si>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</si>
  <si>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</si>
  <si>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</si>
  <si>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</si>
  <si>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</si>
  <si>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</si>
  <si>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</si>
  <si>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</si>
  <si>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</si>
  <si>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</si>
  <si>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</si>
  <si>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</si>
  <si>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</si>
  <si>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</si>
  <si>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</si>
  <si>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</si>
  <si>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</si>
  <si>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</si>
  <si>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</si>
  <si>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</si>
  <si>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</si>
  <si>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</si>
  <si>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</si>
  <si>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</si>
  <si>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</si>
  <si>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</si>
  <si>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</si>
  <si>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</si>
  <si>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</si>
  <si>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</si>
  <si>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</si>
  <si>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</si>
  <si>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</si>
  <si>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</si>
  <si>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</si>
  <si>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</si>
  <si>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</si>
  <si>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</si>
  <si>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</si>
  <si>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</si>
  <si>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</si>
  <si>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</si>
  <si>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</si>
  <si>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</si>
  <si>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</si>
  <si>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</si>
  <si>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</si>
  <si>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</si>
  <si>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</si>
  <si>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</si>
  <si>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</si>
  <si>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</si>
  <si>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</si>
  <si>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</si>
  <si>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</si>
  <si>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</si>
  <si>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</si>
  <si>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</si>
  <si>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</si>
  <si>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</si>
  <si>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</si>
  <si>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</si>
  <si>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</si>
  <si>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</si>
  <si>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</si>
  <si>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</si>
  <si>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</si>
  <si>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</si>
  <si>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</si>
  <si>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</si>
  <si>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</si>
  <si>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</si>
  <si>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</si>
  <si>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</si>
  <si>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</si>
  <si>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</si>
  <si>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</si>
  <si>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</si>
  <si>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</si>
  <si>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</si>
  <si>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</si>
  <si>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</si>
  <si>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</si>
  <si>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</si>
  <si>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</si>
  <si>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</si>
  <si>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</si>
  <si>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</si>
  <si>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</si>
  <si>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</si>
  <si>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</si>
  <si>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</si>
  <si>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</si>
  <si>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</si>
  <si>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</si>
  <si>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</si>
  <si>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</si>
  <si>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</si>
  <si>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</si>
  <si>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</si>
  <si>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</si>
  <si>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</si>
  <si>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</si>
  <si>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</si>
  <si>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</si>
  <si>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</si>
  <si>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</si>
  <si>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</si>
  <si>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</si>
  <si>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</si>
  <si>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</si>
  <si>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</si>
  <si>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</si>
  <si>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</si>
  <si>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</si>
  <si>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</si>
  <si>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</si>
  <si>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</si>
  <si>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</si>
  <si>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</si>
  <si>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</si>
  <si>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</si>
  <si>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</si>
  <si>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</si>
  <si>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</si>
  <si>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</si>
  <si>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</si>
  <si>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</si>
  <si>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</si>
  <si>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</si>
  <si>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</si>
  <si>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</si>
  <si>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</si>
  <si>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</si>
  <si>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</si>
  <si>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</si>
  <si>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</si>
  <si>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</si>
  <si>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</si>
  <si>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</si>
  <si>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</si>
  <si>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</si>
  <si>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</si>
  <si>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</si>
  <si>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</si>
  <si>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</si>
  <si>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</si>
  <si>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</si>
  <si>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</si>
  <si>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</si>
  <si>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</si>
  <si>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</si>
  <si>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</si>
  <si>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</si>
  <si>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</si>
  <si>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</si>
  <si>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</si>
  <si>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</si>
  <si>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</si>
  <si>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</si>
  <si>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</si>
  <si>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</si>
  <si>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</si>
  <si>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</si>
  <si>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</si>
  <si>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</si>
  <si>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</si>
  <si>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</si>
  <si>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</si>
  <si>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</si>
  <si>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</si>
  <si>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</si>
  <si>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</si>
  <si>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</si>
  <si>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</si>
  <si>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</si>
  <si>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</si>
  <si>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</si>
  <si>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</si>
  <si>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</si>
  <si>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</si>
  <si>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</si>
  <si>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</si>
  <si>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</si>
  <si>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</si>
  <si>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</si>
  <si>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</si>
  <si>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</si>
  <si>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</si>
  <si>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</si>
  <si>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</si>
  <si>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</si>
  <si>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</si>
  <si>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</si>
  <si>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</si>
  <si>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</si>
  <si>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</si>
  <si>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</si>
  <si>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</si>
  <si>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</si>
  <si>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</si>
  <si>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</si>
  <si>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</si>
  <si>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</si>
  <si>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</si>
  <si>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</si>
  <si>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</si>
  <si>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</si>
  <si>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</si>
  <si>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</si>
  <si>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</si>
  <si>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</si>
  <si>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</si>
  <si>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</si>
  <si>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</si>
  <si>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</si>
  <si>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</si>
  <si>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</si>
  <si>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</si>
  <si>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</si>
  <si>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</si>
  <si>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</si>
  <si>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</si>
  <si>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</si>
  <si>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</si>
  <si>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</si>
  <si>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</si>
  <si>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</si>
  <si>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</si>
  <si>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</si>
  <si>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</si>
  <si>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</si>
  <si>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</si>
  <si>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</si>
  <si>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</si>
  <si>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</si>
  <si>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</si>
  <si>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</si>
  <si>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</si>
  <si>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</si>
  <si>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</si>
  <si>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</si>
  <si>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</si>
  <si>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</si>
  <si>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</si>
  <si>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</si>
  <si>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</si>
  <si>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</si>
  <si>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</si>
  <si>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</si>
  <si>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</si>
  <si>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</si>
  <si>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</si>
  <si>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</si>
  <si>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</si>
  <si>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</si>
  <si>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</si>
  <si>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</si>
  <si>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</si>
  <si>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</si>
  <si>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</si>
  <si>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</si>
  <si>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</si>
  <si>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</si>
  <si>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</si>
  <si>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</si>
  <si>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</si>
  <si>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</si>
  <si>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</si>
  <si>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</si>
  <si>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</si>
  <si>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</si>
  <si>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</si>
  <si>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</si>
  <si>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</si>
  <si>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</si>
  <si>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</si>
  <si>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</si>
  <si>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</si>
  <si>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</si>
  <si>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</si>
  <si>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</si>
  <si>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</si>
  <si>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</si>
  <si>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</si>
  <si>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</si>
  <si>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</si>
  <si>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</si>
  <si>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</si>
  <si>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</si>
  <si>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</si>
  <si>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</si>
  <si>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</si>
  <si>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</si>
  <si>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</si>
  <si>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</si>
  <si>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</si>
  <si>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</si>
  <si>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</si>
  <si>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</si>
  <si>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</si>
  <si>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</si>
  <si>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</si>
  <si>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</si>
  <si>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</si>
  <si>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</si>
  <si>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</si>
  <si>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</si>
  <si>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</si>
  <si>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</si>
  <si>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</si>
  <si>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</si>
  <si>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</si>
  <si>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</si>
  <si>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</si>
  <si>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</si>
  <si>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</si>
  <si>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</si>
  <si>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</si>
  <si>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</si>
  <si>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</si>
  <si>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</si>
  <si>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</si>
  <si>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</si>
  <si>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</si>
  <si>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</si>
  <si>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</si>
  <si>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</si>
  <si>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</si>
  <si>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</si>
  <si>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</si>
  <si>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</si>
  <si>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</si>
  <si>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</si>
  <si>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</si>
  <si>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</si>
  <si>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</si>
  <si>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</si>
  <si>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</si>
  <si>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</si>
  <si>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</si>
  <si>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</si>
  <si>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</si>
  <si>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</si>
  <si>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</si>
  <si>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</si>
  <si>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</si>
  <si>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</si>
  <si>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</si>
  <si>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</si>
  <si>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</si>
  <si>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</si>
  <si>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</si>
  <si>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</si>
  <si>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</si>
  <si>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</si>
  <si>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</si>
  <si>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</si>
  <si>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</si>
  <si>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</si>
  <si>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</si>
  <si>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</si>
  <si>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</si>
  <si>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</si>
  <si>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</si>
  <si>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</si>
  <si>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</si>
  <si>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</si>
  <si>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</si>
  <si>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</si>
  <si>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</si>
  <si>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</si>
  <si>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</si>
  <si>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</si>
  <si>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</si>
  <si>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</si>
  <si>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</si>
  <si>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</si>
  <si>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</si>
  <si>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</si>
  <si>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</si>
  <si>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</si>
  <si>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</si>
  <si>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</si>
  <si>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</si>
  <si>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</si>
  <si>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</si>
  <si>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</si>
  <si>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</si>
  <si>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</si>
  <si>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</si>
  <si>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</si>
  <si>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</si>
  <si>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</si>
  <si>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</si>
  <si>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</si>
  <si>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</si>
  <si>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</si>
  <si>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</si>
  <si>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</si>
  <si>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</si>
  <si>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</si>
  <si>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</si>
  <si>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</si>
  <si>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</si>
  <si>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</si>
  <si>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</si>
  <si>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</si>
  <si>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</si>
  <si>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</si>
  <si>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</si>
  <si>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</si>
  <si>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</si>
  <si>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</si>
  <si>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</si>
  <si>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</si>
  <si>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</si>
  <si>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</si>
  <si>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</si>
  <si>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</si>
  <si>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</si>
  <si>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</si>
  <si>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</si>
  <si>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</si>
  <si>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</si>
  <si>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</si>
  <si>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</si>
  <si>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</si>
  <si>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</si>
  <si>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</si>
  <si>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</si>
  <si>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</si>
  <si>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</si>
  <si>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</si>
  <si>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</si>
  <si>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</si>
  <si>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</si>
  <si>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</si>
  <si>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</si>
  <si>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</si>
  <si>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</si>
  <si>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</si>
  <si>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</si>
  <si>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</si>
  <si>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</si>
  <si>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</si>
  <si>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</si>
  <si>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</si>
  <si>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</si>
  <si>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</si>
  <si>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</si>
  <si>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</si>
  <si>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</si>
  <si>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</si>
  <si>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</si>
  <si>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</si>
  <si>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</si>
  <si>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</si>
  <si>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</si>
  <si>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</si>
  <si>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</si>
  <si>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</si>
  <si>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</si>
  <si>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</si>
  <si>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</si>
  <si>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</si>
  <si>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</si>
  <si>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</si>
  <si>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</si>
  <si>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</si>
  <si>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</si>
  <si>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</si>
  <si>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</si>
  <si>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</si>
  <si>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</si>
  <si>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</si>
  <si>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</si>
  <si>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</si>
  <si>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</si>
  <si>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</si>
  <si>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</si>
  <si>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</si>
  <si>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</si>
  <si>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</si>
  <si>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</si>
  <si>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</si>
  <si>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</si>
  <si>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</si>
  <si>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</si>
  <si>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</si>
  <si>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</si>
  <si>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</si>
  <si>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</si>
  <si>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</si>
  <si>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</si>
  <si>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</si>
  <si>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</si>
  <si>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</si>
  <si>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</si>
  <si>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</si>
  <si>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</si>
  <si>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</si>
  <si>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</si>
  <si>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</si>
  <si>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</si>
  <si>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</si>
  <si>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</si>
  <si>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</si>
  <si>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</si>
  <si>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</si>
  <si>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</si>
  <si>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</si>
  <si>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</si>
  <si>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</si>
  <si>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</si>
  <si>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</si>
  <si>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</si>
  <si>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</si>
  <si>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</si>
  <si>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</si>
  <si>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</si>
  <si>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</si>
  <si>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</si>
  <si>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</si>
  <si>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</si>
  <si>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</si>
  <si>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</si>
  <si>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</si>
  <si>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</si>
  <si>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</si>
  <si>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</si>
  <si>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</si>
  <si>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</si>
  <si>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</si>
  <si>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</si>
  <si>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</si>
  <si>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</si>
  <si>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</si>
  <si>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</si>
  <si>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</si>
  <si>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</si>
  <si>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</si>
  <si>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</si>
  <si>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</si>
  <si>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</si>
  <si>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</si>
  <si>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</si>
  <si>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</si>
  <si>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</si>
  <si>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</si>
  <si>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</si>
  <si>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</si>
  <si>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</si>
  <si>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</si>
  <si>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</si>
  <si>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</si>
  <si>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</si>
  <si>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</si>
  <si>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</si>
  <si>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</si>
  <si>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</si>
  <si>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</si>
  <si>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</si>
  <si>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</si>
  <si>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</si>
  <si>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</si>
  <si>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</si>
  <si>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</si>
  <si>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</si>
  <si>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</si>
  <si>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</si>
  <si>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</si>
  <si>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</si>
  <si>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</si>
  <si>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</si>
  <si>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</si>
  <si>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</si>
  <si>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</si>
  <si>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</si>
  <si>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</si>
  <si>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</si>
  <si>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</si>
  <si>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</si>
  <si>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</si>
  <si>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</si>
  <si>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</si>
  <si>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</si>
  <si>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</si>
  <si>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</si>
  <si>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</si>
  <si>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</si>
  <si>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</si>
  <si>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</si>
  <si>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</si>
  <si>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</si>
  <si>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</si>
  <si>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</si>
  <si>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</si>
  <si>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</si>
  <si>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</si>
  <si>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</si>
  <si>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</si>
  <si>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</si>
  <si>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</si>
  <si>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</si>
  <si>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</si>
  <si>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</si>
  <si>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</si>
  <si>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</si>
  <si>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</si>
  <si>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</si>
  <si>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</si>
  <si>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</si>
  <si>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</si>
  <si>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</si>
  <si>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</si>
  <si>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</si>
  <si>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</si>
  <si>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</si>
  <si>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</si>
  <si>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</si>
  <si>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</si>
  <si>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</si>
  <si>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</si>
  <si>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</si>
  <si>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</si>
  <si>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</si>
  <si>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</si>
  <si>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</si>
  <si>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</si>
  <si>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</si>
  <si>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</si>
  <si>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</si>
  <si>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</si>
  <si>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</si>
  <si>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</si>
  <si>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</si>
  <si>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</si>
  <si>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</si>
  <si>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</si>
  <si>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</si>
  <si>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</si>
  <si>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</si>
  <si>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</si>
  <si>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</si>
  <si>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</si>
  <si>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</si>
  <si>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</si>
  <si>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</si>
  <si>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</si>
  <si>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</si>
  <si>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</si>
  <si>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</si>
  <si>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</si>
  <si>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</si>
  <si>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</si>
  <si>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</si>
  <si>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</si>
  <si>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</si>
  <si>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</si>
  <si>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</si>
  <si>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</si>
  <si>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</si>
  <si>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</si>
  <si>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</si>
  <si>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</si>
  <si>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</si>
  <si>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</si>
  <si>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</si>
  <si>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</si>
  <si>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</si>
  <si>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</si>
  <si>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</si>
  <si>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</si>
  <si>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</si>
  <si>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</si>
  <si>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</si>
  <si>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</si>
  <si>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</si>
  <si>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</si>
  <si>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</si>
  <si>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</si>
  <si>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</si>
  <si>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</si>
  <si>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</si>
  <si>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</si>
  <si>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</si>
  <si>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</si>
  <si>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</si>
  <si>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</si>
  <si>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</si>
  <si>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</si>
  <si>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</si>
  <si>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</si>
  <si>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</si>
  <si>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</si>
  <si>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</si>
  <si>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</si>
  <si>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</si>
  <si>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</si>
  <si>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</si>
  <si>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</si>
  <si>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</si>
  <si>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</si>
  <si>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</si>
  <si>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</si>
  <si>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</si>
  <si>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</si>
  <si>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</si>
  <si>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</si>
  <si>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</si>
  <si>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</si>
  <si>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</si>
  <si>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</si>
  <si>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</si>
  <si>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</si>
  <si>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</si>
  <si>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</si>
  <si>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</si>
  <si>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</si>
  <si>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</si>
  <si>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</si>
  <si>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</si>
  <si>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</si>
  <si>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</si>
  <si>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</si>
  <si>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</si>
  <si>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</si>
  <si>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</si>
  <si>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</si>
  <si>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</si>
  <si>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</si>
  <si>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</si>
  <si>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</si>
  <si>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</si>
  <si>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</si>
  <si>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</si>
  <si>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</si>
  <si>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</si>
  <si>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</si>
  <si>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</si>
  <si>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</si>
  <si>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</si>
  <si>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</si>
  <si>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</si>
  <si>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</si>
  <si>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</si>
  <si>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</si>
  <si>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</si>
  <si>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</si>
  <si>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</si>
  <si>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</si>
  <si>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</si>
  <si>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</si>
  <si>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</si>
  <si>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</si>
  <si>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</si>
  <si>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</si>
  <si>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</si>
  <si>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</si>
  <si>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</si>
  <si>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</si>
  <si>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</si>
  <si>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</si>
  <si>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</si>
  <si>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</si>
  <si>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</si>
  <si>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</si>
  <si>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</si>
  <si>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</si>
  <si>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</si>
  <si>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</si>
  <si>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</si>
  <si>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</si>
  <si>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</si>
  <si>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</si>
  <si>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</si>
  <si>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</si>
  <si>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</si>
  <si>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</si>
  <si>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</si>
  <si>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</si>
  <si>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</si>
  <si>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</si>
  <si>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</si>
  <si>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</si>
  <si>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</si>
  <si>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</si>
  <si>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</si>
  <si>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</si>
  <si>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</si>
  <si>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</si>
  <si>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</si>
  <si>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</si>
  <si>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</si>
  <si>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</si>
  <si>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</si>
  <si>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</si>
  <si>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</si>
  <si>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</si>
  <si>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</si>
  <si>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</si>
  <si>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</si>
  <si>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</si>
  <si>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</si>
  <si>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</si>
  <si>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</si>
  <si>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</si>
  <si>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</si>
  <si>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</si>
  <si>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</si>
  <si>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</si>
  <si>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</si>
  <si>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</si>
  <si>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</si>
  <si>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</si>
  <si>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</si>
  <si>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</si>
  <si>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</si>
  <si>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</si>
  <si>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</si>
  <si>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</si>
  <si>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</si>
  <si>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9/02</t>
  </si>
  <si>
    <t>8022</t>
  </si>
  <si>
    <t>7/16</t>
  </si>
  <si>
    <t>7/21</t>
  </si>
  <si>
    <t>Barnstead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</si>
</sst>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916</v>
      </c>
      <c r="B2" s="21">
        <v>31</v>
      </c>
      <c r="C2" s="21">
        <v>31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5402.55</v>
      </c>
      <c r="G9" s="18">
        <v>117890.39</v>
      </c>
      <c r="H9" s="18">
        <v>164802.14000000001</v>
      </c>
      <c r="I9" s="18"/>
      <c r="J9" s="67">
        <f>SUM(I439)</f>
        <v>925697.33000000007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531185.22</v>
      </c>
      <c r="G10" s="18">
        <v>144</v>
      </c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146690.85999999999</v>
      </c>
      <c r="G12" s="18">
        <v>7511.02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>
        <v>32595.78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27478.52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683278.63</v>
      </c>
      <c r="G19" s="41">
        <f>SUM(G9:G18)</f>
        <v>153023.93</v>
      </c>
      <c r="H19" s="41">
        <f>SUM(H9:H18)</f>
        <v>197397.92</v>
      </c>
      <c r="I19" s="41">
        <f>SUM(I9:I18)</f>
        <v>0</v>
      </c>
      <c r="J19" s="41">
        <f>SUM(J9:J18)</f>
        <v>925697.33000000007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152864.5</v>
      </c>
      <c r="H22" s="18">
        <v>152457.64000000001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86725.74</v>
      </c>
      <c r="G24" s="18">
        <v>16940.63</v>
      </c>
      <c r="H24" s="18">
        <v>5907.48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301451.12</v>
      </c>
      <c r="G28" s="18">
        <v>1133.42</v>
      </c>
      <c r="H28" s="18">
        <v>38690.03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-75932.98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312243.88</v>
      </c>
      <c r="G32" s="41">
        <f>SUM(G22:G31)</f>
        <v>170938.55000000002</v>
      </c>
      <c r="H32" s="41">
        <f>SUM(H22:H31)</f>
        <v>197055.15000000002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-17914.62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>
        <v>342.77</v>
      </c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100000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925697.33000000007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641.45000000000005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270393.3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371034.75</v>
      </c>
      <c r="G51" s="41">
        <f>SUM(G35:G50)</f>
        <v>-17914.62</v>
      </c>
      <c r="H51" s="41">
        <f>SUM(H35:H50)</f>
        <v>342.77</v>
      </c>
      <c r="I51" s="41">
        <f>SUM(I35:I50)</f>
        <v>0</v>
      </c>
      <c r="J51" s="41">
        <f>SUM(J35:J50)</f>
        <v>925697.33000000007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683278.63</v>
      </c>
      <c r="G52" s="41">
        <f>G51+G32</f>
        <v>153023.93000000002</v>
      </c>
      <c r="H52" s="41">
        <f>H51+H32</f>
        <v>197397.92</v>
      </c>
      <c r="I52" s="41">
        <f>I51+I32</f>
        <v>0</v>
      </c>
      <c r="J52" s="41">
        <f>J51+J32</f>
        <v>925697.33000000007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8504905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8504905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3593.1</v>
      </c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12918.05</v>
      </c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16511.149999999998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1606.37</v>
      </c>
      <c r="G96" s="18">
        <v>238.88</v>
      </c>
      <c r="H96" s="18"/>
      <c r="I96" s="18"/>
      <c r="J96" s="18">
        <v>7707.47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96210.35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252358.96</v>
      </c>
      <c r="G110" s="18"/>
      <c r="H110" s="18">
        <v>65083.47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253965.33</v>
      </c>
      <c r="G111" s="41">
        <f>SUM(G96:G110)</f>
        <v>96449.23000000001</v>
      </c>
      <c r="H111" s="41">
        <f>SUM(H96:H110)</f>
        <v>65083.47</v>
      </c>
      <c r="I111" s="41">
        <f>SUM(I96:I110)</f>
        <v>0</v>
      </c>
      <c r="J111" s="41">
        <f>SUM(J96:J110)</f>
        <v>7707.47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8775381.4800000004</v>
      </c>
      <c r="G112" s="41">
        <f>G60+G111</f>
        <v>96449.23000000001</v>
      </c>
      <c r="H112" s="41">
        <f>H60+H79+H94+H111</f>
        <v>65083.47</v>
      </c>
      <c r="I112" s="41">
        <f>I60+I111</f>
        <v>0</v>
      </c>
      <c r="J112" s="41">
        <f>J60+J111</f>
        <v>7707.47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2783641.05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995162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13586.5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3792389.55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194882.82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3082.77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194882.82</v>
      </c>
      <c r="G136" s="41">
        <f>SUM(G123:G135)</f>
        <v>3082.77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3987272.3699999996</v>
      </c>
      <c r="G140" s="41">
        <f>G121+SUM(G136:G137)</f>
        <v>3082.77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134316.51999999999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133878.76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100217.17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120812.22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88276.66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35401.440000000002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88276.66</v>
      </c>
      <c r="G162" s="41">
        <f>SUM(G150:G161)</f>
        <v>100217.17</v>
      </c>
      <c r="H162" s="41">
        <f>SUM(H150:H161)</f>
        <v>424408.94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88276.66</v>
      </c>
      <c r="G169" s="41">
        <f>G147+G162+SUM(G163:G168)</f>
        <v>100217.17</v>
      </c>
      <c r="H169" s="41">
        <f>H147+H162+SUM(H163:H168)</f>
        <v>424408.94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120000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120000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120000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12850930.51</v>
      </c>
      <c r="G193" s="47">
        <f>G112+G140+G169+G192</f>
        <v>199749.17</v>
      </c>
      <c r="H193" s="47">
        <f>H112+H140+H169+H192</f>
        <v>489492.41000000003</v>
      </c>
      <c r="I193" s="47">
        <f>I112+I140+I169+I192</f>
        <v>0</v>
      </c>
      <c r="J193" s="47">
        <f>J112+J140+J192</f>
        <v>127707.47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1827338.12</v>
      </c>
      <c r="G197" s="18">
        <v>967885.77</v>
      </c>
      <c r="H197" s="18">
        <v>32502.99</v>
      </c>
      <c r="I197" s="18">
        <v>123876.05</v>
      </c>
      <c r="J197" s="18">
        <v>28359.119999999999</v>
      </c>
      <c r="K197" s="18">
        <v>1790</v>
      </c>
      <c r="L197" s="19">
        <f>SUM(F197:K197)</f>
        <v>2981752.0500000003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1076687.17</v>
      </c>
      <c r="G198" s="18">
        <v>549324.18000000005</v>
      </c>
      <c r="H198" s="18">
        <v>111676.41</v>
      </c>
      <c r="I198" s="18">
        <v>5434.36</v>
      </c>
      <c r="J198" s="18">
        <v>3738.39</v>
      </c>
      <c r="K198" s="18"/>
      <c r="L198" s="19">
        <f>SUM(F198:K198)</f>
        <v>1746860.51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25000</v>
      </c>
      <c r="G200" s="18">
        <v>4294.79</v>
      </c>
      <c r="H200" s="18">
        <v>13983.84</v>
      </c>
      <c r="I200" s="18">
        <v>14370.68</v>
      </c>
      <c r="J200" s="18">
        <v>1250.5999999999999</v>
      </c>
      <c r="K200" s="18">
        <v>875</v>
      </c>
      <c r="L200" s="19">
        <f>SUM(F200:K200)</f>
        <v>59774.91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388733.57</v>
      </c>
      <c r="G202" s="18">
        <v>201096.93</v>
      </c>
      <c r="H202" s="18">
        <v>41920.839999999997</v>
      </c>
      <c r="I202" s="18">
        <v>5887.32</v>
      </c>
      <c r="J202" s="18">
        <v>151.46</v>
      </c>
      <c r="K202" s="18"/>
      <c r="L202" s="19">
        <f t="shared" ref="L202:L208" si="0">SUM(F202:K202)</f>
        <v>637790.11999999988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112279.31</v>
      </c>
      <c r="G203" s="18">
        <v>51713.01</v>
      </c>
      <c r="H203" s="18">
        <v>16577.39</v>
      </c>
      <c r="I203" s="18">
        <v>51716.06</v>
      </c>
      <c r="J203" s="18">
        <v>47128.9</v>
      </c>
      <c r="K203" s="18">
        <v>340</v>
      </c>
      <c r="L203" s="19">
        <f t="shared" si="0"/>
        <v>279754.67000000004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219061.06</v>
      </c>
      <c r="G204" s="18">
        <v>72811.81</v>
      </c>
      <c r="H204" s="18">
        <v>50662.57</v>
      </c>
      <c r="I204" s="18">
        <v>15947.43</v>
      </c>
      <c r="J204" s="18"/>
      <c r="K204" s="18">
        <v>8474.35</v>
      </c>
      <c r="L204" s="19">
        <f t="shared" si="0"/>
        <v>366957.22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382214.43</v>
      </c>
      <c r="G205" s="18">
        <v>167505.63</v>
      </c>
      <c r="H205" s="18">
        <v>25104.48</v>
      </c>
      <c r="I205" s="18">
        <v>6036.52</v>
      </c>
      <c r="J205" s="18"/>
      <c r="K205" s="18">
        <v>3649</v>
      </c>
      <c r="L205" s="19">
        <f t="shared" si="0"/>
        <v>584510.06000000006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167832.1</v>
      </c>
      <c r="G207" s="18">
        <v>84757.89</v>
      </c>
      <c r="H207" s="18">
        <v>242154.25</v>
      </c>
      <c r="I207" s="18">
        <v>143361.25</v>
      </c>
      <c r="J207" s="18"/>
      <c r="K207" s="18"/>
      <c r="L207" s="19">
        <f t="shared" si="0"/>
        <v>638105.49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454516</v>
      </c>
      <c r="I208" s="18"/>
      <c r="J208" s="18"/>
      <c r="K208" s="18"/>
      <c r="L208" s="19">
        <f t="shared" si="0"/>
        <v>454516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4199145.76</v>
      </c>
      <c r="G211" s="41">
        <f t="shared" si="1"/>
        <v>2099390.0100000002</v>
      </c>
      <c r="H211" s="41">
        <f t="shared" si="1"/>
        <v>989098.77</v>
      </c>
      <c r="I211" s="41">
        <f t="shared" si="1"/>
        <v>366629.67</v>
      </c>
      <c r="J211" s="41">
        <f t="shared" si="1"/>
        <v>80628.47</v>
      </c>
      <c r="K211" s="41">
        <f t="shared" si="1"/>
        <v>15128.35</v>
      </c>
      <c r="L211" s="41">
        <f t="shared" si="1"/>
        <v>7750021.0300000012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3776774.16</v>
      </c>
      <c r="I233" s="18"/>
      <c r="J233" s="18"/>
      <c r="K233" s="18"/>
      <c r="L233" s="19">
        <f>SUM(F233:K233)</f>
        <v>3776774.16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175904.23</v>
      </c>
      <c r="I234" s="18"/>
      <c r="J234" s="18"/>
      <c r="K234" s="18"/>
      <c r="L234" s="19">
        <f>SUM(F234:K234)</f>
        <v>175904.23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184401</v>
      </c>
      <c r="I244" s="18"/>
      <c r="J244" s="18"/>
      <c r="K244" s="18"/>
      <c r="L244" s="19">
        <f t="shared" si="4"/>
        <v>184401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4137079.39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4137079.39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4199145.76</v>
      </c>
      <c r="G257" s="41">
        <f t="shared" si="8"/>
        <v>2099390.0100000002</v>
      </c>
      <c r="H257" s="41">
        <f t="shared" si="8"/>
        <v>5126178.16</v>
      </c>
      <c r="I257" s="41">
        <f t="shared" si="8"/>
        <v>366629.67</v>
      </c>
      <c r="J257" s="41">
        <f t="shared" si="8"/>
        <v>80628.47</v>
      </c>
      <c r="K257" s="41">
        <f t="shared" si="8"/>
        <v>15128.35</v>
      </c>
      <c r="L257" s="41">
        <f t="shared" si="8"/>
        <v>11887100.420000002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565000</v>
      </c>
      <c r="L260" s="19">
        <f>SUM(F260:K260)</f>
        <v>565000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125657.5</v>
      </c>
      <c r="L261" s="19">
        <f>SUM(F261:K261)</f>
        <v>125657.5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120000</v>
      </c>
      <c r="L266" s="19">
        <f t="shared" si="9"/>
        <v>120000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810657.5</v>
      </c>
      <c r="L270" s="41">
        <f t="shared" si="9"/>
        <v>810657.5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4199145.76</v>
      </c>
      <c r="G271" s="42">
        <f t="shared" si="11"/>
        <v>2099390.0100000002</v>
      </c>
      <c r="H271" s="42">
        <f t="shared" si="11"/>
        <v>5126178.16</v>
      </c>
      <c r="I271" s="42">
        <f t="shared" si="11"/>
        <v>366629.67</v>
      </c>
      <c r="J271" s="42">
        <f t="shared" si="11"/>
        <v>80628.47</v>
      </c>
      <c r="K271" s="42">
        <f t="shared" si="11"/>
        <v>825785.85</v>
      </c>
      <c r="L271" s="42">
        <f t="shared" si="11"/>
        <v>12697757.920000002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185728.05</v>
      </c>
      <c r="G276" s="18">
        <v>29098.09</v>
      </c>
      <c r="H276" s="18">
        <v>1205</v>
      </c>
      <c r="I276" s="18">
        <v>2847.89</v>
      </c>
      <c r="J276" s="18"/>
      <c r="K276" s="18">
        <v>90.76</v>
      </c>
      <c r="L276" s="19">
        <f>SUM(F276:K276)</f>
        <v>218969.79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29060.62</v>
      </c>
      <c r="G277" s="18">
        <v>4898.4399999999996</v>
      </c>
      <c r="H277" s="18"/>
      <c r="I277" s="18"/>
      <c r="J277" s="18"/>
      <c r="K277" s="18"/>
      <c r="L277" s="19">
        <f>SUM(F277:K277)</f>
        <v>33959.06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21965.23</v>
      </c>
      <c r="G279" s="18">
        <v>994.69</v>
      </c>
      <c r="H279" s="18"/>
      <c r="I279" s="18"/>
      <c r="J279" s="18"/>
      <c r="K279" s="18"/>
      <c r="L279" s="19">
        <f>SUM(F279:K279)</f>
        <v>22959.919999999998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76240.649999999994</v>
      </c>
      <c r="G282" s="18">
        <v>10612.51</v>
      </c>
      <c r="H282" s="18">
        <v>26745.13</v>
      </c>
      <c r="I282" s="18"/>
      <c r="J282" s="18"/>
      <c r="K282" s="18"/>
      <c r="L282" s="19">
        <f t="shared" si="12"/>
        <v>113598.29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86983.679999999993</v>
      </c>
      <c r="G283" s="18">
        <v>13021.67</v>
      </c>
      <c r="H283" s="18"/>
      <c r="I283" s="18"/>
      <c r="J283" s="18"/>
      <c r="K283" s="18"/>
      <c r="L283" s="19">
        <f t="shared" si="12"/>
        <v>100005.34999999999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399978.23</v>
      </c>
      <c r="G290" s="42">
        <f t="shared" si="13"/>
        <v>58625.4</v>
      </c>
      <c r="H290" s="42">
        <f t="shared" si="13"/>
        <v>27950.13</v>
      </c>
      <c r="I290" s="42">
        <f t="shared" si="13"/>
        <v>2847.89</v>
      </c>
      <c r="J290" s="42">
        <f t="shared" si="13"/>
        <v>0</v>
      </c>
      <c r="K290" s="42">
        <f t="shared" si="13"/>
        <v>90.76</v>
      </c>
      <c r="L290" s="41">
        <f t="shared" si="13"/>
        <v>489492.41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399978.23</v>
      </c>
      <c r="G338" s="41">
        <f t="shared" si="20"/>
        <v>58625.4</v>
      </c>
      <c r="H338" s="41">
        <f t="shared" si="20"/>
        <v>27950.13</v>
      </c>
      <c r="I338" s="41">
        <f t="shared" si="20"/>
        <v>2847.89</v>
      </c>
      <c r="J338" s="41">
        <f t="shared" si="20"/>
        <v>0</v>
      </c>
      <c r="K338" s="41">
        <f t="shared" si="20"/>
        <v>90.76</v>
      </c>
      <c r="L338" s="41">
        <f t="shared" si="20"/>
        <v>489492.41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399978.23</v>
      </c>
      <c r="G352" s="41">
        <f>G338</f>
        <v>58625.4</v>
      </c>
      <c r="H352" s="41">
        <f>H338</f>
        <v>27950.13</v>
      </c>
      <c r="I352" s="41">
        <f>I338</f>
        <v>2847.89</v>
      </c>
      <c r="J352" s="41">
        <f>J338</f>
        <v>0</v>
      </c>
      <c r="K352" s="47">
        <f>K338+K351</f>
        <v>90.76</v>
      </c>
      <c r="L352" s="41">
        <f>L338+L351</f>
        <v>489492.41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71016.850000000006</v>
      </c>
      <c r="G358" s="18">
        <v>12792.74</v>
      </c>
      <c r="H358" s="18">
        <v>8536.92</v>
      </c>
      <c r="I358" s="18">
        <v>138456.54</v>
      </c>
      <c r="J358" s="18"/>
      <c r="K358" s="18">
        <v>600</v>
      </c>
      <c r="L358" s="13">
        <f>SUM(F358:K358)</f>
        <v>231403.05000000002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71016.850000000006</v>
      </c>
      <c r="G362" s="47">
        <f t="shared" si="22"/>
        <v>12792.74</v>
      </c>
      <c r="H362" s="47">
        <f t="shared" si="22"/>
        <v>8536.92</v>
      </c>
      <c r="I362" s="47">
        <f t="shared" si="22"/>
        <v>138456.54</v>
      </c>
      <c r="J362" s="47">
        <f t="shared" si="22"/>
        <v>0</v>
      </c>
      <c r="K362" s="47">
        <f t="shared" si="22"/>
        <v>600</v>
      </c>
      <c r="L362" s="47">
        <f t="shared" si="22"/>
        <v>231403.05000000002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131749.44</v>
      </c>
      <c r="G367" s="18"/>
      <c r="H367" s="18"/>
      <c r="I367" s="56">
        <f>SUM(F367:H367)</f>
        <v>131749.44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6707.1</v>
      </c>
      <c r="G368" s="63"/>
      <c r="H368" s="63"/>
      <c r="I368" s="56">
        <f>SUM(F368:H368)</f>
        <v>6707.1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138456.54</v>
      </c>
      <c r="G369" s="47">
        <f>SUM(G367:G368)</f>
        <v>0</v>
      </c>
      <c r="H369" s="47">
        <f>SUM(H367:H368)</f>
        <v>0</v>
      </c>
      <c r="I369" s="47">
        <f>SUM(I367:I368)</f>
        <v>138456.54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>
        <v>617.1</v>
      </c>
      <c r="I388" s="18"/>
      <c r="J388" s="24" t="s">
        <v>286</v>
      </c>
      <c r="K388" s="24" t="s">
        <v>286</v>
      </c>
      <c r="L388" s="56">
        <f t="shared" si="25"/>
        <v>617.1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>
        <v>20000</v>
      </c>
      <c r="H391" s="18">
        <v>306.2</v>
      </c>
      <c r="I391" s="18"/>
      <c r="J391" s="24" t="s">
        <v>286</v>
      </c>
      <c r="K391" s="24" t="s">
        <v>286</v>
      </c>
      <c r="L391" s="56">
        <f t="shared" si="25"/>
        <v>20306.2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100000</v>
      </c>
      <c r="H392" s="18">
        <v>1261.95</v>
      </c>
      <c r="I392" s="18"/>
      <c r="J392" s="24" t="s">
        <v>286</v>
      </c>
      <c r="K392" s="24" t="s">
        <v>286</v>
      </c>
      <c r="L392" s="56">
        <f t="shared" si="25"/>
        <v>101261.95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120000</v>
      </c>
      <c r="H393" s="139">
        <f>SUM(H387:H392)</f>
        <v>2185.25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122185.25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553.84</v>
      </c>
      <c r="I396" s="18"/>
      <c r="J396" s="24" t="s">
        <v>286</v>
      </c>
      <c r="K396" s="24" t="s">
        <v>286</v>
      </c>
      <c r="L396" s="56">
        <f t="shared" si="26"/>
        <v>553.84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3364.64</v>
      </c>
      <c r="I397" s="18"/>
      <c r="J397" s="24" t="s">
        <v>286</v>
      </c>
      <c r="K397" s="24" t="s">
        <v>286</v>
      </c>
      <c r="L397" s="56">
        <f t="shared" si="26"/>
        <v>3364.64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1603.74</v>
      </c>
      <c r="I400" s="18"/>
      <c r="J400" s="24" t="s">
        <v>286</v>
      </c>
      <c r="K400" s="24" t="s">
        <v>286</v>
      </c>
      <c r="L400" s="56">
        <f t="shared" si="26"/>
        <v>1603.74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5522.22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5522.22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120000</v>
      </c>
      <c r="H408" s="47">
        <f>H393+H401+H407</f>
        <v>7707.47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127707.47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>
        <v>36107.5</v>
      </c>
      <c r="I417" s="18"/>
      <c r="J417" s="18"/>
      <c r="K417" s="18"/>
      <c r="L417" s="56">
        <f t="shared" si="27"/>
        <v>36107.5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36107.5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36107.5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36107.5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36107.5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177134.52</v>
      </c>
      <c r="G439" s="18">
        <v>748562.81</v>
      </c>
      <c r="H439" s="18"/>
      <c r="I439" s="56">
        <f t="shared" ref="I439:I445" si="33">SUM(F439:H439)</f>
        <v>925697.33000000007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177134.52</v>
      </c>
      <c r="G446" s="13">
        <f>SUM(G439:G445)</f>
        <v>748562.81</v>
      </c>
      <c r="H446" s="13">
        <f>SUM(H439:H445)</f>
        <v>0</v>
      </c>
      <c r="I446" s="13">
        <f>SUM(I439:I445)</f>
        <v>925697.33000000007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177134.52</v>
      </c>
      <c r="G459" s="18">
        <v>748562.81</v>
      </c>
      <c r="H459" s="18"/>
      <c r="I459" s="56">
        <f t="shared" si="34"/>
        <v>925697.33000000007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177134.52</v>
      </c>
      <c r="G460" s="83">
        <f>SUM(G454:G459)</f>
        <v>748562.81</v>
      </c>
      <c r="H460" s="83">
        <f>SUM(H454:H459)</f>
        <v>0</v>
      </c>
      <c r="I460" s="83">
        <f>SUM(I454:I459)</f>
        <v>925697.33000000007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177134.52</v>
      </c>
      <c r="G461" s="42">
        <f>G452+G460</f>
        <v>748562.81</v>
      </c>
      <c r="H461" s="42">
        <f>H452+H460</f>
        <v>0</v>
      </c>
      <c r="I461" s="42">
        <f>I452+I460</f>
        <v>925697.33000000007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217862.16</v>
      </c>
      <c r="G465" s="18">
        <v>13739.26</v>
      </c>
      <c r="H465" s="18">
        <v>342.77</v>
      </c>
      <c r="I465" s="18"/>
      <c r="J465" s="18">
        <v>834097.36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12850930.51</v>
      </c>
      <c r="G468" s="18">
        <v>199749.17</v>
      </c>
      <c r="H468" s="18">
        <v>489492.41</v>
      </c>
      <c r="I468" s="18"/>
      <c r="J468" s="18">
        <v>127707.47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12850930.51</v>
      </c>
      <c r="G470" s="53">
        <f>SUM(G468:G469)</f>
        <v>199749.17</v>
      </c>
      <c r="H470" s="53">
        <f>SUM(H468:H469)</f>
        <v>489492.41</v>
      </c>
      <c r="I470" s="53">
        <f>SUM(I468:I469)</f>
        <v>0</v>
      </c>
      <c r="J470" s="53">
        <f>SUM(J468:J469)</f>
        <v>127707.47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12697757.92</v>
      </c>
      <c r="G472" s="18">
        <v>231403.05</v>
      </c>
      <c r="H472" s="18">
        <v>489492.41</v>
      </c>
      <c r="I472" s="18"/>
      <c r="J472" s="18">
        <v>36107.5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12697757.92</v>
      </c>
      <c r="G474" s="53">
        <f>SUM(G472:G473)</f>
        <v>231403.05</v>
      </c>
      <c r="H474" s="53">
        <f>SUM(H472:H473)</f>
        <v>489492.41</v>
      </c>
      <c r="I474" s="53">
        <f>SUM(I472:I473)</f>
        <v>0</v>
      </c>
      <c r="J474" s="53">
        <f>SUM(J472:J473)</f>
        <v>36107.5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371034.75</v>
      </c>
      <c r="G476" s="53">
        <f>(G465+G470)- G474</f>
        <v>-17914.619999999966</v>
      </c>
      <c r="H476" s="53">
        <f>(H465+H470)- H474</f>
        <v>342.77000000001863</v>
      </c>
      <c r="I476" s="53">
        <f>(I465+I470)- I474</f>
        <v>0</v>
      </c>
      <c r="J476" s="53">
        <f>(J465+J470)- J474</f>
        <v>925697.33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5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9633125</v>
      </c>
      <c r="G493" s="18">
        <v>479500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4.1900000000000004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2400000</v>
      </c>
      <c r="G495" s="18">
        <v>435000</v>
      </c>
      <c r="H495" s="18"/>
      <c r="I495" s="18"/>
      <c r="J495" s="18"/>
      <c r="K495" s="53">
        <f>SUM(F495:J495)</f>
        <v>2835000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480000</v>
      </c>
      <c r="G497" s="18">
        <v>85000</v>
      </c>
      <c r="H497" s="18"/>
      <c r="I497" s="18"/>
      <c r="J497" s="18"/>
      <c r="K497" s="53">
        <f t="shared" si="35"/>
        <v>565000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1920000</v>
      </c>
      <c r="G498" s="204">
        <v>350000</v>
      </c>
      <c r="H498" s="204"/>
      <c r="I498" s="204"/>
      <c r="J498" s="204"/>
      <c r="K498" s="205">
        <f t="shared" si="35"/>
        <v>2270000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313970</v>
      </c>
      <c r="G499" s="18">
        <v>34638</v>
      </c>
      <c r="H499" s="18"/>
      <c r="I499" s="18"/>
      <c r="J499" s="18"/>
      <c r="K499" s="53">
        <f t="shared" si="35"/>
        <v>348608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2233970</v>
      </c>
      <c r="G500" s="42">
        <f>SUM(G498:G499)</f>
        <v>384638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2618608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480000</v>
      </c>
      <c r="G501" s="204">
        <v>90000</v>
      </c>
      <c r="H501" s="204"/>
      <c r="I501" s="204"/>
      <c r="J501" s="204"/>
      <c r="K501" s="205">
        <f t="shared" si="35"/>
        <v>570000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67920</v>
      </c>
      <c r="G502" s="18">
        <v>15311</v>
      </c>
      <c r="H502" s="18"/>
      <c r="I502" s="18"/>
      <c r="J502" s="18"/>
      <c r="K502" s="53">
        <f t="shared" si="35"/>
        <v>83231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547920</v>
      </c>
      <c r="G503" s="42">
        <f>SUM(G501:G502)</f>
        <v>105311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653231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1105747.79</v>
      </c>
      <c r="G521" s="18">
        <v>554222.62</v>
      </c>
      <c r="H521" s="18">
        <v>111676.41</v>
      </c>
      <c r="I521" s="18">
        <v>5434.36</v>
      </c>
      <c r="J521" s="18">
        <v>3738.39</v>
      </c>
      <c r="K521" s="18"/>
      <c r="L521" s="88">
        <f>SUM(F521:K521)</f>
        <v>1780819.57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175904.23</v>
      </c>
      <c r="I523" s="18"/>
      <c r="J523" s="18"/>
      <c r="K523" s="18"/>
      <c r="L523" s="88">
        <f>SUM(F523:K523)</f>
        <v>175904.23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1105747.79</v>
      </c>
      <c r="G524" s="108">
        <f t="shared" ref="G524:L524" si="36">SUM(G521:G523)</f>
        <v>554222.62</v>
      </c>
      <c r="H524" s="108">
        <f t="shared" si="36"/>
        <v>287580.64</v>
      </c>
      <c r="I524" s="108">
        <f t="shared" si="36"/>
        <v>5434.36</v>
      </c>
      <c r="J524" s="108">
        <f t="shared" si="36"/>
        <v>3738.39</v>
      </c>
      <c r="K524" s="108">
        <f t="shared" si="36"/>
        <v>0</v>
      </c>
      <c r="L524" s="89">
        <f t="shared" si="36"/>
        <v>1956723.8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317313.86</v>
      </c>
      <c r="G526" s="18">
        <v>136922.92000000001</v>
      </c>
      <c r="H526" s="18">
        <v>65366.65</v>
      </c>
      <c r="I526" s="18">
        <v>3508.7</v>
      </c>
      <c r="J526" s="18"/>
      <c r="K526" s="18"/>
      <c r="L526" s="88">
        <f>SUM(F526:K526)</f>
        <v>523112.13000000006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317313.86</v>
      </c>
      <c r="G529" s="89">
        <f t="shared" ref="G529:L529" si="37">SUM(G526:G528)</f>
        <v>136922.92000000001</v>
      </c>
      <c r="H529" s="89">
        <f t="shared" si="37"/>
        <v>65366.65</v>
      </c>
      <c r="I529" s="89">
        <f t="shared" si="37"/>
        <v>3508.7</v>
      </c>
      <c r="J529" s="89">
        <f t="shared" si="37"/>
        <v>0</v>
      </c>
      <c r="K529" s="89">
        <f t="shared" si="37"/>
        <v>0</v>
      </c>
      <c r="L529" s="89">
        <f t="shared" si="37"/>
        <v>523112.13000000006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84666</v>
      </c>
      <c r="G531" s="18">
        <v>32012</v>
      </c>
      <c r="H531" s="18"/>
      <c r="I531" s="18"/>
      <c r="J531" s="18"/>
      <c r="K531" s="18"/>
      <c r="L531" s="88">
        <f>SUM(F531:K531)</f>
        <v>116678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84666</v>
      </c>
      <c r="G534" s="89">
        <f t="shared" ref="G534:L534" si="38">SUM(G531:G533)</f>
        <v>32012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116678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52617.24</v>
      </c>
      <c r="I541" s="18"/>
      <c r="J541" s="18"/>
      <c r="K541" s="18"/>
      <c r="L541" s="88">
        <f>SUM(F541:K541)</f>
        <v>52617.24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65278</v>
      </c>
      <c r="I543" s="18"/>
      <c r="J543" s="18"/>
      <c r="K543" s="18"/>
      <c r="L543" s="88">
        <f>SUM(F543:K543)</f>
        <v>65278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117895.23999999999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117895.23999999999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1507727.65</v>
      </c>
      <c r="G545" s="89">
        <f t="shared" ref="G545:L545" si="41">G524+G529+G534+G539+G544</f>
        <v>723157.54</v>
      </c>
      <c r="H545" s="89">
        <f t="shared" si="41"/>
        <v>470842.53</v>
      </c>
      <c r="I545" s="89">
        <f t="shared" si="41"/>
        <v>8943.06</v>
      </c>
      <c r="J545" s="89">
        <f t="shared" si="41"/>
        <v>3738.39</v>
      </c>
      <c r="K545" s="89">
        <f t="shared" si="41"/>
        <v>0</v>
      </c>
      <c r="L545" s="89">
        <f t="shared" si="41"/>
        <v>2714409.17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1780819.57</v>
      </c>
      <c r="G549" s="87">
        <f>L526</f>
        <v>523112.13000000006</v>
      </c>
      <c r="H549" s="87">
        <f>L531</f>
        <v>116678</v>
      </c>
      <c r="I549" s="87">
        <f>L536</f>
        <v>0</v>
      </c>
      <c r="J549" s="87">
        <f>L541</f>
        <v>52617.24</v>
      </c>
      <c r="K549" s="87">
        <f>SUM(F549:J549)</f>
        <v>2473226.9400000004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175904.23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65278</v>
      </c>
      <c r="K551" s="87">
        <f>SUM(F551:J551)</f>
        <v>241182.23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1956723.8</v>
      </c>
      <c r="G552" s="89">
        <f t="shared" si="42"/>
        <v>523112.13000000006</v>
      </c>
      <c r="H552" s="89">
        <f t="shared" si="42"/>
        <v>116678</v>
      </c>
      <c r="I552" s="89">
        <f t="shared" si="42"/>
        <v>0</v>
      </c>
      <c r="J552" s="89">
        <f t="shared" si="42"/>
        <v>117895.23999999999</v>
      </c>
      <c r="K552" s="89">
        <f t="shared" si="42"/>
        <v>2714409.1700000004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5900</v>
      </c>
      <c r="G567" s="18">
        <v>1088.52</v>
      </c>
      <c r="H567" s="18"/>
      <c r="I567" s="18">
        <v>1334.15</v>
      </c>
      <c r="J567" s="18"/>
      <c r="K567" s="18"/>
      <c r="L567" s="88">
        <f>SUM(F567:K567)</f>
        <v>8322.67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5900</v>
      </c>
      <c r="G570" s="193">
        <f t="shared" ref="G570:L570" si="45">SUM(G567:G569)</f>
        <v>1088.52</v>
      </c>
      <c r="H570" s="193">
        <f t="shared" si="45"/>
        <v>0</v>
      </c>
      <c r="I570" s="193">
        <f t="shared" si="45"/>
        <v>1334.15</v>
      </c>
      <c r="J570" s="193">
        <f t="shared" si="45"/>
        <v>0</v>
      </c>
      <c r="K570" s="193">
        <f t="shared" si="45"/>
        <v>0</v>
      </c>
      <c r="L570" s="193">
        <f t="shared" si="45"/>
        <v>8322.67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5900</v>
      </c>
      <c r="G571" s="89">
        <f t="shared" ref="G571:L571" si="46">G560+G565+G570</f>
        <v>1088.52</v>
      </c>
      <c r="H571" s="89">
        <f t="shared" si="46"/>
        <v>0</v>
      </c>
      <c r="I571" s="89">
        <f t="shared" si="46"/>
        <v>1334.15</v>
      </c>
      <c r="J571" s="89">
        <f t="shared" si="46"/>
        <v>0</v>
      </c>
      <c r="K571" s="89">
        <f t="shared" si="46"/>
        <v>0</v>
      </c>
      <c r="L571" s="89">
        <f t="shared" si="46"/>
        <v>8322.67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3776774.16</v>
      </c>
      <c r="I577" s="87">
        <f t="shared" si="47"/>
        <v>3776774.16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19381.560000000001</v>
      </c>
      <c r="G579" s="18"/>
      <c r="H579" s="18">
        <v>96414.65</v>
      </c>
      <c r="I579" s="87">
        <f t="shared" si="47"/>
        <v>115796.20999999999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379959.28</v>
      </c>
      <c r="I591" s="18"/>
      <c r="J591" s="18">
        <v>119123</v>
      </c>
      <c r="K591" s="104">
        <f t="shared" ref="K591:K597" si="48">SUM(H591:J591)</f>
        <v>499082.28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52617.24</v>
      </c>
      <c r="I592" s="18"/>
      <c r="J592" s="18">
        <v>65278</v>
      </c>
      <c r="K592" s="104">
        <f t="shared" si="48"/>
        <v>117895.23999999999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6382.1</v>
      </c>
      <c r="I594" s="18"/>
      <c r="J594" s="18"/>
      <c r="K594" s="104">
        <f t="shared" si="48"/>
        <v>6382.1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5882.5</v>
      </c>
      <c r="I595" s="18"/>
      <c r="J595" s="18"/>
      <c r="K595" s="104">
        <f t="shared" si="48"/>
        <v>5882.5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9674.8799999999992</v>
      </c>
      <c r="I597" s="18"/>
      <c r="J597" s="18"/>
      <c r="K597" s="104">
        <f t="shared" si="48"/>
        <v>9674.8799999999992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454516</v>
      </c>
      <c r="I598" s="108">
        <f>SUM(I591:I597)</f>
        <v>0</v>
      </c>
      <c r="J598" s="108">
        <f>SUM(J591:J597)</f>
        <v>184401</v>
      </c>
      <c r="K598" s="108">
        <f>SUM(K591:K597)</f>
        <v>638917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80628.47</v>
      </c>
      <c r="I604" s="18"/>
      <c r="J604" s="18"/>
      <c r="K604" s="104">
        <f>SUM(H604:J604)</f>
        <v>80628.47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80628.47</v>
      </c>
      <c r="I605" s="108">
        <f>SUM(I602:I604)</f>
        <v>0</v>
      </c>
      <c r="J605" s="108">
        <f>SUM(J602:J604)</f>
        <v>0</v>
      </c>
      <c r="K605" s="108">
        <f>SUM(K602:K604)</f>
        <v>80628.47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683278.63</v>
      </c>
      <c r="H617" s="109">
        <f>SUM(F52)</f>
        <v>683278.63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153023.93</v>
      </c>
      <c r="H618" s="109">
        <f>SUM(G52)</f>
        <v>153023.93000000002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197397.92</v>
      </c>
      <c r="H619" s="109">
        <f>SUM(H52)</f>
        <v>197397.92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925697.33000000007</v>
      </c>
      <c r="H621" s="109">
        <f>SUM(J52)</f>
        <v>925697.33000000007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371034.75</v>
      </c>
      <c r="H622" s="109">
        <f>F476</f>
        <v>371034.75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-17914.62</v>
      </c>
      <c r="H623" s="109">
        <f>G476</f>
        <v>-17914.619999999966</v>
      </c>
      <c r="I623" s="121" t="s">
        <v>102</v>
      </c>
      <c r="J623" s="109">
        <f t="shared" si="50"/>
        <v>-3.2741809263825417E-11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342.77</v>
      </c>
      <c r="H624" s="109">
        <f>H476</f>
        <v>342.77000000001863</v>
      </c>
      <c r="I624" s="121" t="s">
        <v>103</v>
      </c>
      <c r="J624" s="109">
        <f t="shared" si="50"/>
        <v>-1.8644641386345029E-11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925697.33000000007</v>
      </c>
      <c r="H626" s="109">
        <f>J476</f>
        <v>925697.33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12850930.51</v>
      </c>
      <c r="H627" s="104">
        <f>SUM(F468)</f>
        <v>12850930.51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199749.17</v>
      </c>
      <c r="H628" s="104">
        <f>SUM(G468)</f>
        <v>199749.17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489492.41000000003</v>
      </c>
      <c r="H629" s="104">
        <f>SUM(H468)</f>
        <v>489492.41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127707.47</v>
      </c>
      <c r="H631" s="104">
        <f>SUM(J468)</f>
        <v>127707.47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12697757.920000002</v>
      </c>
      <c r="H632" s="104">
        <f>SUM(F472)</f>
        <v>12697757.92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489492.41</v>
      </c>
      <c r="H633" s="104">
        <f>SUM(H472)</f>
        <v>489492.41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138456.54</v>
      </c>
      <c r="H634" s="104">
        <f>I369</f>
        <v>138456.54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231403.05000000002</v>
      </c>
      <c r="H635" s="104">
        <f>SUM(G472)</f>
        <v>231403.05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127707.47</v>
      </c>
      <c r="H637" s="164">
        <f>SUM(J468)</f>
        <v>127707.47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36107.5</v>
      </c>
      <c r="H638" s="164">
        <f>SUM(J472)</f>
        <v>36107.5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177134.52</v>
      </c>
      <c r="H639" s="104">
        <f>SUM(F461)</f>
        <v>177134.52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748562.81</v>
      </c>
      <c r="H640" s="104">
        <f>SUM(G461)</f>
        <v>748562.81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925697.33000000007</v>
      </c>
      <c r="H642" s="104">
        <f>SUM(I461)</f>
        <v>925697.33000000007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7707.47</v>
      </c>
      <c r="H644" s="104">
        <f>H408</f>
        <v>7707.47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120000</v>
      </c>
      <c r="H645" s="104">
        <f>G408</f>
        <v>120000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127707.47</v>
      </c>
      <c r="H646" s="104">
        <f>L408</f>
        <v>127707.47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638917</v>
      </c>
      <c r="H647" s="104">
        <f>L208+L226+L244</f>
        <v>638917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80628.47</v>
      </c>
      <c r="H648" s="104">
        <f>(J257+J338)-(J255+J336)</f>
        <v>80628.47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454516</v>
      </c>
      <c r="H649" s="104">
        <f>H598</f>
        <v>454516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184401</v>
      </c>
      <c r="H651" s="104">
        <f>J598</f>
        <v>184401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120000</v>
      </c>
      <c r="H655" s="104">
        <f>K266+K347</f>
        <v>120000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8470916.4900000021</v>
      </c>
      <c r="G660" s="19">
        <f>(L229+L309+L359)</f>
        <v>0</v>
      </c>
      <c r="H660" s="19">
        <f>(L247+L328+L360)</f>
        <v>4137079.39</v>
      </c>
      <c r="I660" s="19">
        <f>SUM(F660:H660)</f>
        <v>12607995.880000003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96210.35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96210.35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454516</v>
      </c>
      <c r="G662" s="19">
        <f>(L226+L306)-(J226+J306)</f>
        <v>0</v>
      </c>
      <c r="H662" s="19">
        <f>(L244+L325)-(J244+J325)</f>
        <v>184401</v>
      </c>
      <c r="I662" s="19">
        <f>SUM(F662:H662)</f>
        <v>638917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100010.03</v>
      </c>
      <c r="G663" s="199">
        <f>SUM(G575:G587)+SUM(I602:I604)+L612</f>
        <v>0</v>
      </c>
      <c r="H663" s="199">
        <f>SUM(H575:H587)+SUM(J602:J604)+L613</f>
        <v>3873188.81</v>
      </c>
      <c r="I663" s="19">
        <f>SUM(F663:H663)</f>
        <v>3973198.84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7820180.1100000022</v>
      </c>
      <c r="G664" s="19">
        <f>G660-SUM(G661:G663)</f>
        <v>0</v>
      </c>
      <c r="H664" s="19">
        <f>H660-SUM(H661:H663)</f>
        <v>79489.580000000075</v>
      </c>
      <c r="I664" s="19">
        <f>I660-SUM(I661:I663)</f>
        <v>7899669.6900000032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485.69</v>
      </c>
      <c r="G665" s="248"/>
      <c r="H665" s="248"/>
      <c r="I665" s="19">
        <f>SUM(F665:H665)</f>
        <v>485.69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16101.18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16264.84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-79489.58</v>
      </c>
      <c r="I669" s="19">
        <f>SUM(F669:H669)</f>
        <v>-79489.58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16101.18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16101.18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Barnstead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2013066.1700000002</v>
      </c>
      <c r="C9" s="229">
        <f>'DOE25'!G197+'DOE25'!G215+'DOE25'!G233+'DOE25'!G276+'DOE25'!G295+'DOE25'!G314</f>
        <v>996983.86</v>
      </c>
    </row>
    <row r="10" spans="1:3" x14ac:dyDescent="0.2">
      <c r="A10" t="s">
        <v>773</v>
      </c>
      <c r="B10" s="240">
        <v>1844686.48</v>
      </c>
      <c r="C10" s="240">
        <v>974102.81</v>
      </c>
    </row>
    <row r="11" spans="1:3" x14ac:dyDescent="0.2">
      <c r="A11" t="s">
        <v>774</v>
      </c>
      <c r="B11" s="240">
        <v>128747.14</v>
      </c>
      <c r="C11" s="240">
        <v>19849.16</v>
      </c>
    </row>
    <row r="12" spans="1:3" x14ac:dyDescent="0.2">
      <c r="A12" t="s">
        <v>775</v>
      </c>
      <c r="B12" s="240">
        <v>39632.550000000003</v>
      </c>
      <c r="C12" s="240">
        <v>3031.89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2013066.17</v>
      </c>
      <c r="C13" s="231">
        <f>SUM(C10:C12)</f>
        <v>996983.8600000001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1105747.79</v>
      </c>
      <c r="C18" s="229">
        <f>'DOE25'!G198+'DOE25'!G216+'DOE25'!G234+'DOE25'!G277+'DOE25'!G296+'DOE25'!G315</f>
        <v>554222.62</v>
      </c>
    </row>
    <row r="19" spans="1:3" x14ac:dyDescent="0.2">
      <c r="A19" t="s">
        <v>773</v>
      </c>
      <c r="B19" s="240">
        <v>427595.76</v>
      </c>
      <c r="C19" s="240">
        <v>188950.24</v>
      </c>
    </row>
    <row r="20" spans="1:3" x14ac:dyDescent="0.2">
      <c r="A20" t="s">
        <v>774</v>
      </c>
      <c r="B20" s="240">
        <v>632465.89</v>
      </c>
      <c r="C20" s="240">
        <v>361777.39</v>
      </c>
    </row>
    <row r="21" spans="1:3" x14ac:dyDescent="0.2">
      <c r="A21" t="s">
        <v>775</v>
      </c>
      <c r="B21" s="240">
        <v>45686.14</v>
      </c>
      <c r="C21" s="240">
        <v>3494.99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1105747.7899999998</v>
      </c>
      <c r="C22" s="231">
        <f>SUM(C19:C21)</f>
        <v>554222.62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46965.229999999996</v>
      </c>
      <c r="C36" s="235">
        <f>'DOE25'!G200+'DOE25'!G218+'DOE25'!G236+'DOE25'!G279+'DOE25'!G298+'DOE25'!G317</f>
        <v>5289.48</v>
      </c>
    </row>
    <row r="37" spans="1:3" x14ac:dyDescent="0.2">
      <c r="A37" t="s">
        <v>773</v>
      </c>
      <c r="B37" s="240">
        <v>17600</v>
      </c>
      <c r="C37" s="240">
        <v>3043.04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29365.23</v>
      </c>
      <c r="C39" s="240">
        <v>2246.44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46965.229999999996</v>
      </c>
      <c r="C40" s="231">
        <f>SUM(C37:C39)</f>
        <v>5289.48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Barnstead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8741065.8600000013</v>
      </c>
      <c r="D5" s="20">
        <f>SUM('DOE25'!L197:L200)+SUM('DOE25'!L215:L218)+SUM('DOE25'!L233:L236)-F5-G5</f>
        <v>8705052.7500000019</v>
      </c>
      <c r="E5" s="243"/>
      <c r="F5" s="255">
        <f>SUM('DOE25'!J197:J200)+SUM('DOE25'!J215:J218)+SUM('DOE25'!J233:J236)</f>
        <v>33348.11</v>
      </c>
      <c r="G5" s="53">
        <f>SUM('DOE25'!K197:K200)+SUM('DOE25'!K215:K218)+SUM('DOE25'!K233:K236)</f>
        <v>2665</v>
      </c>
      <c r="H5" s="259"/>
    </row>
    <row r="6" spans="1:9" x14ac:dyDescent="0.2">
      <c r="A6" s="32">
        <v>2100</v>
      </c>
      <c r="B6" t="s">
        <v>795</v>
      </c>
      <c r="C6" s="245">
        <f t="shared" si="0"/>
        <v>637790.11999999988</v>
      </c>
      <c r="D6" s="20">
        <f>'DOE25'!L202+'DOE25'!L220+'DOE25'!L238-F6-G6</f>
        <v>637638.65999999992</v>
      </c>
      <c r="E6" s="243"/>
      <c r="F6" s="255">
        <f>'DOE25'!J202+'DOE25'!J220+'DOE25'!J238</f>
        <v>151.46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279754.67000000004</v>
      </c>
      <c r="D7" s="20">
        <f>'DOE25'!L203+'DOE25'!L221+'DOE25'!L239-F7-G7</f>
        <v>232285.77000000005</v>
      </c>
      <c r="E7" s="243"/>
      <c r="F7" s="255">
        <f>'DOE25'!J203+'DOE25'!J221+'DOE25'!J239</f>
        <v>47128.9</v>
      </c>
      <c r="G7" s="53">
        <f>'DOE25'!K203+'DOE25'!K221+'DOE25'!K239</f>
        <v>340</v>
      </c>
      <c r="H7" s="259"/>
    </row>
    <row r="8" spans="1:9" x14ac:dyDescent="0.2">
      <c r="A8" s="32">
        <v>2300</v>
      </c>
      <c r="B8" t="s">
        <v>796</v>
      </c>
      <c r="C8" s="245">
        <f t="shared" si="0"/>
        <v>366957.22</v>
      </c>
      <c r="D8" s="243"/>
      <c r="E8" s="20">
        <f>'DOE25'!L204+'DOE25'!L222+'DOE25'!L240-F8-G8-D9-D11</f>
        <v>358482.87</v>
      </c>
      <c r="F8" s="255">
        <f>'DOE25'!J204+'DOE25'!J222+'DOE25'!J240</f>
        <v>0</v>
      </c>
      <c r="G8" s="53">
        <f>'DOE25'!K204+'DOE25'!K222+'DOE25'!K240</f>
        <v>8474.35</v>
      </c>
      <c r="H8" s="259"/>
    </row>
    <row r="9" spans="1:9" x14ac:dyDescent="0.2">
      <c r="A9" s="32">
        <v>2310</v>
      </c>
      <c r="B9" t="s">
        <v>812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584510.06000000006</v>
      </c>
      <c r="D12" s="20">
        <f>'DOE25'!L205+'DOE25'!L223+'DOE25'!L241-F12-G12</f>
        <v>580861.06000000006</v>
      </c>
      <c r="E12" s="243"/>
      <c r="F12" s="255">
        <f>'DOE25'!J205+'DOE25'!J223+'DOE25'!J241</f>
        <v>0</v>
      </c>
      <c r="G12" s="53">
        <f>'DOE25'!K205+'DOE25'!K223+'DOE25'!K241</f>
        <v>3649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638105.49</v>
      </c>
      <c r="D14" s="20">
        <f>'DOE25'!L207+'DOE25'!L225+'DOE25'!L243-F14-G14</f>
        <v>638105.49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638917</v>
      </c>
      <c r="D15" s="20">
        <f>'DOE25'!L208+'DOE25'!L226+'DOE25'!L244-F15-G15</f>
        <v>638917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690657.5</v>
      </c>
      <c r="D25" s="243"/>
      <c r="E25" s="243"/>
      <c r="F25" s="258"/>
      <c r="G25" s="256"/>
      <c r="H25" s="257">
        <f>'DOE25'!L260+'DOE25'!L261+'DOE25'!L341+'DOE25'!L342</f>
        <v>690657.5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99653.610000000015</v>
      </c>
      <c r="D29" s="20">
        <f>'DOE25'!L358+'DOE25'!L359+'DOE25'!L360-'DOE25'!I367-F29-G29</f>
        <v>99053.610000000015</v>
      </c>
      <c r="E29" s="243"/>
      <c r="F29" s="255">
        <f>'DOE25'!J358+'DOE25'!J359+'DOE25'!J360</f>
        <v>0</v>
      </c>
      <c r="G29" s="53">
        <f>'DOE25'!K358+'DOE25'!K359+'DOE25'!K360</f>
        <v>600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489492.41</v>
      </c>
      <c r="D31" s="20">
        <f>'DOE25'!L290+'DOE25'!L309+'DOE25'!L328+'DOE25'!L333+'DOE25'!L334+'DOE25'!L335-F31-G31</f>
        <v>489401.64999999997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90.76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12021315.990000002</v>
      </c>
      <c r="E33" s="246">
        <f>SUM(E5:E31)</f>
        <v>358482.87</v>
      </c>
      <c r="F33" s="246">
        <f>SUM(F5:F31)</f>
        <v>80628.47</v>
      </c>
      <c r="G33" s="246">
        <f>SUM(G5:G31)</f>
        <v>15819.11</v>
      </c>
      <c r="H33" s="246">
        <f>SUM(H5:H31)</f>
        <v>690657.5</v>
      </c>
    </row>
    <row r="35" spans="2:8" ht="12" thickBot="1" x14ac:dyDescent="0.25">
      <c r="B35" s="253" t="s">
        <v>841</v>
      </c>
      <c r="D35" s="254">
        <f>E33</f>
        <v>358482.87</v>
      </c>
      <c r="E35" s="249"/>
    </row>
    <row r="36" spans="2:8" ht="12" thickTop="1" x14ac:dyDescent="0.2">
      <c r="B36" t="s">
        <v>809</v>
      </c>
      <c r="D36" s="20">
        <f>D33</f>
        <v>12021315.990000002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Barnstead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5402.55</v>
      </c>
      <c r="D8" s="95">
        <f>'DOE25'!G9</f>
        <v>117890.39</v>
      </c>
      <c r="E8" s="95">
        <f>'DOE25'!H9</f>
        <v>164802.14000000001</v>
      </c>
      <c r="F8" s="95">
        <f>'DOE25'!I9</f>
        <v>0</v>
      </c>
      <c r="G8" s="95">
        <f>'DOE25'!J9</f>
        <v>925697.33000000007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531185.22</v>
      </c>
      <c r="D9" s="95">
        <f>'DOE25'!G10</f>
        <v>144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146690.85999999999</v>
      </c>
      <c r="D11" s="95">
        <f>'DOE25'!G12</f>
        <v>7511.02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32595.78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27478.52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683278.63</v>
      </c>
      <c r="D18" s="41">
        <f>SUM(D8:D17)</f>
        <v>153023.93</v>
      </c>
      <c r="E18" s="41">
        <f>SUM(E8:E17)</f>
        <v>197397.92</v>
      </c>
      <c r="F18" s="41">
        <f>SUM(F8:F17)</f>
        <v>0</v>
      </c>
      <c r="G18" s="41">
        <f>SUM(G8:G17)</f>
        <v>925697.33000000007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152864.5</v>
      </c>
      <c r="E21" s="95">
        <f>'DOE25'!H22</f>
        <v>152457.64000000001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86725.74</v>
      </c>
      <c r="D23" s="95">
        <f>'DOE25'!G24</f>
        <v>16940.63</v>
      </c>
      <c r="E23" s="95">
        <f>'DOE25'!H24</f>
        <v>5907.48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301451.12</v>
      </c>
      <c r="D27" s="95">
        <f>'DOE25'!G28</f>
        <v>1133.42</v>
      </c>
      <c r="E27" s="95">
        <f>'DOE25'!H28</f>
        <v>38690.03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-75932.98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312243.88</v>
      </c>
      <c r="D31" s="41">
        <f>SUM(D21:D30)</f>
        <v>170938.55000000002</v>
      </c>
      <c r="E31" s="41">
        <f>SUM(E21:E30)</f>
        <v>197055.15000000002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-17914.62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342.77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100000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925697.33000000007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641.45000000000005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270393.3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371034.75</v>
      </c>
      <c r="D50" s="41">
        <f>SUM(D34:D49)</f>
        <v>-17914.62</v>
      </c>
      <c r="E50" s="41">
        <f>SUM(E34:E49)</f>
        <v>342.77</v>
      </c>
      <c r="F50" s="41">
        <f>SUM(F34:F49)</f>
        <v>0</v>
      </c>
      <c r="G50" s="41">
        <f>SUM(G34:G49)</f>
        <v>925697.33000000007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683278.63</v>
      </c>
      <c r="D51" s="41">
        <f>D50+D31</f>
        <v>153023.93000000002</v>
      </c>
      <c r="E51" s="41">
        <f>E50+E31</f>
        <v>197397.92</v>
      </c>
      <c r="F51" s="41">
        <f>F50+F31</f>
        <v>0</v>
      </c>
      <c r="G51" s="41">
        <f>G50+G31</f>
        <v>925697.33000000007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8504905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16511.149999999998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1606.37</v>
      </c>
      <c r="D59" s="95">
        <f>'DOE25'!G96</f>
        <v>238.88</v>
      </c>
      <c r="E59" s="95">
        <f>'DOE25'!H96</f>
        <v>0</v>
      </c>
      <c r="F59" s="95">
        <f>'DOE25'!I96</f>
        <v>0</v>
      </c>
      <c r="G59" s="95">
        <f>'DOE25'!J96</f>
        <v>7707.47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96210.35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252358.96</v>
      </c>
      <c r="D61" s="95">
        <f>SUM('DOE25'!G98:G110)</f>
        <v>0</v>
      </c>
      <c r="E61" s="95">
        <f>SUM('DOE25'!H98:H110)</f>
        <v>65083.47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270476.48</v>
      </c>
      <c r="D62" s="130">
        <f>SUM(D57:D61)</f>
        <v>96449.23000000001</v>
      </c>
      <c r="E62" s="130">
        <f>SUM(E57:E61)</f>
        <v>65083.47</v>
      </c>
      <c r="F62" s="130">
        <f>SUM(F57:F61)</f>
        <v>0</v>
      </c>
      <c r="G62" s="130">
        <f>SUM(G57:G61)</f>
        <v>7707.47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8775381.4800000004</v>
      </c>
      <c r="D63" s="22">
        <f>D56+D62</f>
        <v>96449.23000000001</v>
      </c>
      <c r="E63" s="22">
        <f>E56+E62</f>
        <v>65083.47</v>
      </c>
      <c r="F63" s="22">
        <f>F56+F62</f>
        <v>0</v>
      </c>
      <c r="G63" s="22">
        <f>G56+G62</f>
        <v>7707.47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2783641.05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995162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13586.5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3792389.55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194882.82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3082.77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194882.82</v>
      </c>
      <c r="D78" s="130">
        <f>SUM(D72:D77)</f>
        <v>3082.77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3987272.3699999996</v>
      </c>
      <c r="D81" s="130">
        <f>SUM(D79:D80)+D78+D70</f>
        <v>3082.77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88276.66</v>
      </c>
      <c r="D88" s="95">
        <f>SUM('DOE25'!G153:G161)</f>
        <v>100217.17</v>
      </c>
      <c r="E88" s="95">
        <f>SUM('DOE25'!H153:H161)</f>
        <v>424408.94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88276.66</v>
      </c>
      <c r="D91" s="131">
        <f>SUM(D85:D90)</f>
        <v>100217.17</v>
      </c>
      <c r="E91" s="131">
        <f>SUM(E85:E90)</f>
        <v>424408.94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120000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120000</v>
      </c>
    </row>
    <row r="104" spans="1:7" ht="12.75" thickTop="1" thickBot="1" x14ac:dyDescent="0.25">
      <c r="A104" s="33" t="s">
        <v>759</v>
      </c>
      <c r="C104" s="86">
        <f>C63+C81+C91+C103</f>
        <v>12850930.51</v>
      </c>
      <c r="D104" s="86">
        <f>D63+D81+D91+D103</f>
        <v>199749.17</v>
      </c>
      <c r="E104" s="86">
        <f>E63+E81+E91+E103</f>
        <v>489492.41000000003</v>
      </c>
      <c r="F104" s="86">
        <f>F63+F81+F91+F103</f>
        <v>0</v>
      </c>
      <c r="G104" s="86">
        <f>G63+G81+G103</f>
        <v>127707.47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6758526.2100000009</v>
      </c>
      <c r="D109" s="24" t="s">
        <v>286</v>
      </c>
      <c r="E109" s="95">
        <f>('DOE25'!L276)+('DOE25'!L295)+('DOE25'!L314)</f>
        <v>218969.79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1922764.74</v>
      </c>
      <c r="D110" s="24" t="s">
        <v>286</v>
      </c>
      <c r="E110" s="95">
        <f>('DOE25'!L277)+('DOE25'!L296)+('DOE25'!L315)</f>
        <v>33959.06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59774.91</v>
      </c>
      <c r="D112" s="24" t="s">
        <v>286</v>
      </c>
      <c r="E112" s="95">
        <f>+('DOE25'!L279)+('DOE25'!L298)+('DOE25'!L317)</f>
        <v>22959.919999999998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8741065.8600000013</v>
      </c>
      <c r="D115" s="86">
        <f>SUM(D109:D114)</f>
        <v>0</v>
      </c>
      <c r="E115" s="86">
        <f>SUM(E109:E114)</f>
        <v>275888.77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637790.11999999988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279754.67000000004</v>
      </c>
      <c r="D119" s="24" t="s">
        <v>286</v>
      </c>
      <c r="E119" s="95">
        <f>+('DOE25'!L282)+('DOE25'!L301)+('DOE25'!L320)</f>
        <v>113598.29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366957.22</v>
      </c>
      <c r="D120" s="24" t="s">
        <v>286</v>
      </c>
      <c r="E120" s="95">
        <f>+('DOE25'!L283)+('DOE25'!L302)+('DOE25'!L321)</f>
        <v>100005.34999999999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584510.06000000006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638105.49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638917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231403.05000000002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3146034.5599999996</v>
      </c>
      <c r="D128" s="86">
        <f>SUM(D118:D127)</f>
        <v>231403.05000000002</v>
      </c>
      <c r="E128" s="86">
        <f>SUM(E118:E127)</f>
        <v>213603.63999999998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565000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125657.5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122185.25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5522.22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-7707.4700000000012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810657.5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12697757.920000002</v>
      </c>
      <c r="D145" s="86">
        <f>(D115+D128+D144)</f>
        <v>231403.05000000002</v>
      </c>
      <c r="E145" s="86">
        <f>(E115+E128+E144)</f>
        <v>489492.41000000003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9/02</v>
      </c>
      <c r="C152" s="152" t="str">
        <f>'DOE25'!G491</f>
        <v>7/16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8022</v>
      </c>
      <c r="C153" s="152" t="str">
        <f>'DOE25'!G492</f>
        <v>7/21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9633125</v>
      </c>
      <c r="C154" s="137">
        <f>'DOE25'!G493</f>
        <v>479500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4.1900000000000004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2400000</v>
      </c>
      <c r="C156" s="137">
        <f>'DOE25'!G495</f>
        <v>435000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2835000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480000</v>
      </c>
      <c r="C158" s="137">
        <f>'DOE25'!G497</f>
        <v>85000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565000</v>
      </c>
    </row>
    <row r="159" spans="1:9" x14ac:dyDescent="0.2">
      <c r="A159" s="22" t="s">
        <v>35</v>
      </c>
      <c r="B159" s="137">
        <f>'DOE25'!F498</f>
        <v>1920000</v>
      </c>
      <c r="C159" s="137">
        <f>'DOE25'!G498</f>
        <v>350000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2270000</v>
      </c>
    </row>
    <row r="160" spans="1:9" x14ac:dyDescent="0.2">
      <c r="A160" s="22" t="s">
        <v>36</v>
      </c>
      <c r="B160" s="137">
        <f>'DOE25'!F499</f>
        <v>313970</v>
      </c>
      <c r="C160" s="137">
        <f>'DOE25'!G499</f>
        <v>34638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348608</v>
      </c>
    </row>
    <row r="161" spans="1:7" x14ac:dyDescent="0.2">
      <c r="A161" s="22" t="s">
        <v>37</v>
      </c>
      <c r="B161" s="137">
        <f>'DOE25'!F500</f>
        <v>2233970</v>
      </c>
      <c r="C161" s="137">
        <f>'DOE25'!G500</f>
        <v>384638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2618608</v>
      </c>
    </row>
    <row r="162" spans="1:7" x14ac:dyDescent="0.2">
      <c r="A162" s="22" t="s">
        <v>38</v>
      </c>
      <c r="B162" s="137">
        <f>'DOE25'!F501</f>
        <v>480000</v>
      </c>
      <c r="C162" s="137">
        <f>'DOE25'!G501</f>
        <v>90000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570000</v>
      </c>
    </row>
    <row r="163" spans="1:7" x14ac:dyDescent="0.2">
      <c r="A163" s="22" t="s">
        <v>39</v>
      </c>
      <c r="B163" s="137">
        <f>'DOE25'!F502</f>
        <v>67920</v>
      </c>
      <c r="C163" s="137">
        <f>'DOE25'!G502</f>
        <v>15311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83231</v>
      </c>
    </row>
    <row r="164" spans="1:7" x14ac:dyDescent="0.2">
      <c r="A164" s="22" t="s">
        <v>246</v>
      </c>
      <c r="B164" s="137">
        <f>'DOE25'!F503</f>
        <v>547920</v>
      </c>
      <c r="C164" s="137">
        <f>'DOE25'!G503</f>
        <v>105311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653231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Barnstead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16101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16101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6977496</v>
      </c>
      <c r="D10" s="182">
        <f>ROUND((C10/$C$28)*100,1)</f>
        <v>55.2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1956724</v>
      </c>
      <c r="D11" s="182">
        <f>ROUND((C11/$C$28)*100,1)</f>
        <v>15.5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82735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637790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393353</v>
      </c>
      <c r="D16" s="182">
        <f t="shared" si="0"/>
        <v>3.1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466963</v>
      </c>
      <c r="D17" s="182">
        <f t="shared" si="0"/>
        <v>3.7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584510</v>
      </c>
      <c r="D18" s="182">
        <f t="shared" si="0"/>
        <v>4.5999999999999996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638105</v>
      </c>
      <c r="D20" s="182">
        <f t="shared" si="0"/>
        <v>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638917</v>
      </c>
      <c r="D21" s="182">
        <f t="shared" si="0"/>
        <v>5.0999999999999996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125658</v>
      </c>
      <c r="D25" s="182">
        <f t="shared" si="0"/>
        <v>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135192.65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12637443.65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12637443.65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565000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8504905</v>
      </c>
      <c r="D35" s="182">
        <f t="shared" ref="D35:D40" si="1">ROUND((C35/$C$41)*100,1)</f>
        <v>63.2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343506.30000000261</v>
      </c>
      <c r="D36" s="182">
        <f t="shared" si="1"/>
        <v>2.6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3778803</v>
      </c>
      <c r="D37" s="182">
        <f t="shared" si="1"/>
        <v>28.1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211552</v>
      </c>
      <c r="D38" s="182">
        <f t="shared" si="1"/>
        <v>1.6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612903</v>
      </c>
      <c r="D39" s="182">
        <f t="shared" si="1"/>
        <v>4.5999999999999996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13451669.300000003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Barnstead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2018-11-20T15:33:11Z</cp:lastPrinted>
  <dcterms:created xsi:type="dcterms:W3CDTF">1997-12-04T19:04:30Z</dcterms:created>
  <dcterms:modified xsi:type="dcterms:W3CDTF">2018-11-20T15:33:14Z</dcterms:modified>
</cp:coreProperties>
</file>