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workbookProtection workbookPassword="970A" lockStructure="1"/>
  <bookViews>
    <workbookView xWindow="-150" yWindow="-60" windowWidth="47235" windowHeight="169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2" i="1" l="1"/>
  <c r="F522" i="1"/>
  <c r="I521" i="1"/>
  <c r="H521" i="1"/>
  <c r="G521" i="1"/>
  <c r="F521" i="1"/>
  <c r="H543" i="1"/>
  <c r="H542" i="1"/>
  <c r="H541" i="1"/>
  <c r="F531" i="1"/>
  <c r="K526" i="1"/>
  <c r="J526" i="1"/>
  <c r="I526" i="1"/>
  <c r="H526" i="1"/>
  <c r="G526" i="1"/>
  <c r="F526" i="1"/>
  <c r="J521" i="1"/>
  <c r="C19" i="12"/>
  <c r="B19" i="12"/>
  <c r="C20" i="12"/>
  <c r="C21" i="12"/>
  <c r="B21" i="12"/>
  <c r="B20" i="12"/>
  <c r="B11" i="12"/>
  <c r="B10" i="12"/>
  <c r="C10" i="12"/>
  <c r="C12" i="12"/>
  <c r="C11" i="12"/>
  <c r="B12" i="12"/>
  <c r="H359" i="1"/>
  <c r="H358" i="1"/>
  <c r="H277" i="1"/>
  <c r="G277" i="1"/>
  <c r="G296" i="1"/>
  <c r="F296" i="1"/>
  <c r="F277" i="1"/>
  <c r="I276" i="1"/>
  <c r="F295" i="1"/>
  <c r="F276" i="1"/>
  <c r="G276" i="1"/>
  <c r="H295" i="1"/>
  <c r="H276" i="1"/>
  <c r="K359" i="1"/>
  <c r="K358" i="1"/>
  <c r="H579" i="1"/>
  <c r="H575" i="1"/>
  <c r="I197" i="1"/>
  <c r="F197" i="1"/>
  <c r="G202" i="1"/>
  <c r="H220" i="1"/>
  <c r="F202" i="1"/>
  <c r="L202" i="1" s="1"/>
  <c r="H244" i="1"/>
  <c r="K240" i="1"/>
  <c r="J240" i="1"/>
  <c r="H240" i="1"/>
  <c r="G240" i="1"/>
  <c r="F240" i="1"/>
  <c r="H234" i="1"/>
  <c r="F234" i="1"/>
  <c r="H233" i="1"/>
  <c r="H226" i="1"/>
  <c r="J225" i="1"/>
  <c r="H225" i="1"/>
  <c r="I225" i="1"/>
  <c r="G225" i="1"/>
  <c r="F225" i="1"/>
  <c r="K223" i="1"/>
  <c r="J223" i="1"/>
  <c r="I223" i="1"/>
  <c r="H223" i="1"/>
  <c r="G223" i="1"/>
  <c r="F223" i="1"/>
  <c r="K222" i="1"/>
  <c r="H204" i="1"/>
  <c r="H222" i="1"/>
  <c r="G222" i="1"/>
  <c r="F222" i="1"/>
  <c r="K221" i="1"/>
  <c r="J221" i="1"/>
  <c r="I221" i="1"/>
  <c r="H221" i="1"/>
  <c r="G221" i="1"/>
  <c r="F221" i="1"/>
  <c r="K220" i="1"/>
  <c r="G220" i="1"/>
  <c r="F220" i="1"/>
  <c r="I220" i="1"/>
  <c r="J220" i="1"/>
  <c r="I218" i="1"/>
  <c r="H218" i="1"/>
  <c r="F218" i="1"/>
  <c r="G218" i="1"/>
  <c r="J216" i="1"/>
  <c r="I216" i="1"/>
  <c r="H216" i="1"/>
  <c r="G216" i="1"/>
  <c r="F216" i="1"/>
  <c r="K215" i="1"/>
  <c r="J215" i="1"/>
  <c r="I215" i="1"/>
  <c r="H215" i="1"/>
  <c r="G215" i="1"/>
  <c r="F215" i="1"/>
  <c r="H255" i="1"/>
  <c r="H208" i="1"/>
  <c r="J207" i="1"/>
  <c r="H207" i="1"/>
  <c r="I207" i="1"/>
  <c r="F207" i="1"/>
  <c r="G207" i="1"/>
  <c r="K205" i="1"/>
  <c r="J205" i="1"/>
  <c r="I205" i="1"/>
  <c r="H205" i="1"/>
  <c r="G205" i="1"/>
  <c r="F205" i="1"/>
  <c r="K204" i="1"/>
  <c r="I204" i="1"/>
  <c r="G204" i="1"/>
  <c r="F204" i="1"/>
  <c r="K203" i="1"/>
  <c r="J203" i="1"/>
  <c r="I203" i="1"/>
  <c r="H203" i="1"/>
  <c r="G203" i="1"/>
  <c r="F203" i="1"/>
  <c r="K202" i="1"/>
  <c r="I202" i="1"/>
  <c r="H202" i="1"/>
  <c r="J202" i="1"/>
  <c r="F198" i="1"/>
  <c r="J198" i="1"/>
  <c r="I198" i="1"/>
  <c r="H198" i="1"/>
  <c r="G198" i="1"/>
  <c r="L198" i="1" s="1"/>
  <c r="K197" i="1"/>
  <c r="J197" i="1"/>
  <c r="H197" i="1"/>
  <c r="G197" i="1"/>
  <c r="J468" i="1"/>
  <c r="H389" i="1"/>
  <c r="C45" i="2"/>
  <c r="G51" i="1"/>
  <c r="F51" i="1"/>
  <c r="C37" i="10"/>
  <c r="F40" i="2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/>
  <c r="G44" i="2"/>
  <c r="I458" i="1"/>
  <c r="J39" i="1"/>
  <c r="G38" i="2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62" i="1" s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/>
  <c r="G59" i="2"/>
  <c r="G61" i="2"/>
  <c r="F2" i="11"/>
  <c r="L613" i="1"/>
  <c r="H663" i="1"/>
  <c r="L612" i="1"/>
  <c r="G663" i="1"/>
  <c r="L611" i="1"/>
  <c r="F663" i="1"/>
  <c r="C40" i="10"/>
  <c r="F60" i="1"/>
  <c r="G60" i="1"/>
  <c r="G112" i="1" s="1"/>
  <c r="H60" i="1"/>
  <c r="I60" i="1"/>
  <c r="F79" i="1"/>
  <c r="F94" i="1"/>
  <c r="F111" i="1"/>
  <c r="G111" i="1"/>
  <c r="H79" i="1"/>
  <c r="H94" i="1"/>
  <c r="H111" i="1"/>
  <c r="I111" i="1"/>
  <c r="I112" i="1"/>
  <c r="J111" i="1"/>
  <c r="J112" i="1" s="1"/>
  <c r="J193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2" i="10"/>
  <c r="C13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/>
  <c r="L522" i="1"/>
  <c r="F550" i="1" s="1"/>
  <c r="L523" i="1"/>
  <c r="F551" i="1"/>
  <c r="L526" i="1"/>
  <c r="G549" i="1" s="1"/>
  <c r="L527" i="1"/>
  <c r="G550" i="1"/>
  <c r="L528" i="1"/>
  <c r="G551" i="1" s="1"/>
  <c r="L531" i="1"/>
  <c r="H549" i="1"/>
  <c r="L532" i="1"/>
  <c r="H550" i="1" s="1"/>
  <c r="H552" i="1" s="1"/>
  <c r="L533" i="1"/>
  <c r="H551" i="1"/>
  <c r="L536" i="1"/>
  <c r="I549" i="1" s="1"/>
  <c r="I552" i="1" s="1"/>
  <c r="L537" i="1"/>
  <c r="I550" i="1"/>
  <c r="L538" i="1"/>
  <c r="I551" i="1" s="1"/>
  <c r="L541" i="1"/>
  <c r="J549" i="1"/>
  <c r="L542" i="1"/>
  <c r="J550" i="1" s="1"/>
  <c r="J552" i="1" s="1"/>
  <c r="L543" i="1"/>
  <c r="J551" i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C9" i="2"/>
  <c r="D9" i="2"/>
  <c r="E9" i="2"/>
  <c r="F9" i="2"/>
  <c r="I440" i="1"/>
  <c r="J10" i="1"/>
  <c r="G9" i="2" s="1"/>
  <c r="C10" i="2"/>
  <c r="C11" i="2"/>
  <c r="D11" i="2"/>
  <c r="E11" i="2"/>
  <c r="F11" i="2"/>
  <c r="I441" i="1"/>
  <c r="J12" i="1"/>
  <c r="G11" i="2" s="1"/>
  <c r="C12" i="2"/>
  <c r="D12" i="2"/>
  <c r="E12" i="2"/>
  <c r="F12" i="2"/>
  <c r="I442" i="1"/>
  <c r="J13" i="1"/>
  <c r="G12" i="2"/>
  <c r="C13" i="2"/>
  <c r="D13" i="2"/>
  <c r="E13" i="2"/>
  <c r="F13" i="2"/>
  <c r="I443" i="1"/>
  <c r="J14" i="1"/>
  <c r="G13" i="2"/>
  <c r="F14" i="2"/>
  <c r="C15" i="2"/>
  <c r="D15" i="2"/>
  <c r="E15" i="2"/>
  <c r="F15" i="2"/>
  <c r="C16" i="2"/>
  <c r="D16" i="2"/>
  <c r="E16" i="2"/>
  <c r="F16" i="2"/>
  <c r="I444" i="1"/>
  <c r="J17" i="1"/>
  <c r="C17" i="2"/>
  <c r="D17" i="2"/>
  <c r="E17" i="2"/>
  <c r="F17" i="2"/>
  <c r="I445" i="1"/>
  <c r="J18" i="1"/>
  <c r="G17" i="2" s="1"/>
  <c r="C21" i="2"/>
  <c r="D21" i="2"/>
  <c r="E21" i="2"/>
  <c r="F21" i="2"/>
  <c r="I448" i="1"/>
  <c r="J22" i="1"/>
  <c r="C22" i="2"/>
  <c r="D22" i="2"/>
  <c r="E22" i="2"/>
  <c r="F22" i="2"/>
  <c r="I449" i="1"/>
  <c r="J23" i="1" s="1"/>
  <c r="C23" i="2"/>
  <c r="D23" i="2"/>
  <c r="E23" i="2"/>
  <c r="F23" i="2"/>
  <c r="I450" i="1"/>
  <c r="J24" i="1"/>
  <c r="G23" i="2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/>
  <c r="G30" i="2"/>
  <c r="C34" i="2"/>
  <c r="D34" i="2"/>
  <c r="E34" i="2"/>
  <c r="F34" i="2"/>
  <c r="C35" i="2"/>
  <c r="D35" i="2"/>
  <c r="E35" i="2"/>
  <c r="F35" i="2"/>
  <c r="I454" i="1"/>
  <c r="J49" i="1" s="1"/>
  <c r="I456" i="1"/>
  <c r="J43" i="1"/>
  <c r="I457" i="1"/>
  <c r="J37" i="1"/>
  <c r="I459" i="1"/>
  <c r="J48" i="1"/>
  <c r="G47" i="2" s="1"/>
  <c r="C49" i="2"/>
  <c r="C56" i="2"/>
  <c r="D56" i="2"/>
  <c r="E56" i="2"/>
  <c r="F56" i="2"/>
  <c r="C57" i="2"/>
  <c r="C62" i="2" s="1"/>
  <c r="E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C70" i="2" s="1"/>
  <c r="C81" i="2" s="1"/>
  <c r="D69" i="2"/>
  <c r="D70" i="2"/>
  <c r="E69" i="2"/>
  <c r="E70" i="2"/>
  <c r="F69" i="2"/>
  <c r="F70" i="2"/>
  <c r="G69" i="2"/>
  <c r="G70" i="2"/>
  <c r="C72" i="2"/>
  <c r="F72" i="2"/>
  <c r="C73" i="2"/>
  <c r="C74" i="2"/>
  <c r="C75" i="2"/>
  <c r="C76" i="2"/>
  <c r="C77" i="2"/>
  <c r="C78" i="2"/>
  <c r="C79" i="2"/>
  <c r="C80" i="2"/>
  <c r="F73" i="2"/>
  <c r="E76" i="2"/>
  <c r="F76" i="2"/>
  <c r="D77" i="2"/>
  <c r="D78" i="2" s="1"/>
  <c r="D81" i="2" s="1"/>
  <c r="E77" i="2"/>
  <c r="F77" i="2"/>
  <c r="G77" i="2"/>
  <c r="G78" i="2" s="1"/>
  <c r="G81" i="2" s="1"/>
  <c r="D79" i="2"/>
  <c r="E79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/>
  <c r="F128" i="2"/>
  <c r="G128" i="2"/>
  <c r="C130" i="2"/>
  <c r="E130" i="2"/>
  <c r="F130" i="2"/>
  <c r="F144" i="2" s="1"/>
  <c r="F145" i="2" s="1"/>
  <c r="D134" i="2"/>
  <c r="D144" i="2"/>
  <c r="D145" i="2"/>
  <c r="E134" i="2"/>
  <c r="F134" i="2"/>
  <c r="K419" i="1"/>
  <c r="K427" i="1"/>
  <c r="K433" i="1"/>
  <c r="L263" i="1"/>
  <c r="C135" i="2"/>
  <c r="E135" i="2"/>
  <c r="L264" i="1"/>
  <c r="C136" i="2" s="1"/>
  <c r="L265" i="1"/>
  <c r="C137" i="2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/>
  <c r="H500" i="1"/>
  <c r="D161" i="2" s="1"/>
  <c r="I500" i="1"/>
  <c r="E161" i="2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/>
  <c r="H503" i="1"/>
  <c r="D164" i="2" s="1"/>
  <c r="I503" i="1"/>
  <c r="E164" i="2"/>
  <c r="J503" i="1"/>
  <c r="F164" i="2" s="1"/>
  <c r="F19" i="1"/>
  <c r="G19" i="1"/>
  <c r="H19" i="1"/>
  <c r="I19" i="1"/>
  <c r="F32" i="1"/>
  <c r="F52" i="1"/>
  <c r="G32" i="1"/>
  <c r="H32" i="1"/>
  <c r="H52" i="1" s="1"/>
  <c r="H619" i="1" s="1"/>
  <c r="J619" i="1" s="1"/>
  <c r="I32" i="1"/>
  <c r="H617" i="1"/>
  <c r="G52" i="1"/>
  <c r="H618" i="1" s="1"/>
  <c r="J618" i="1" s="1"/>
  <c r="H51" i="1"/>
  <c r="I51" i="1"/>
  <c r="I52" i="1" s="1"/>
  <c r="H620" i="1" s="1"/>
  <c r="J620" i="1" s="1"/>
  <c r="F177" i="1"/>
  <c r="I177" i="1"/>
  <c r="F183" i="1"/>
  <c r="G183" i="1"/>
  <c r="H183" i="1"/>
  <c r="I183" i="1"/>
  <c r="J183" i="1"/>
  <c r="J192" i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/>
  <c r="J352" i="1" s="1"/>
  <c r="K337" i="1"/>
  <c r="K338" i="1"/>
  <c r="K352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J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H639" i="1" s="1"/>
  <c r="J639" i="1" s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8" i="1" s="1"/>
  <c r="G647" i="1" s="1"/>
  <c r="J647" i="1" s="1"/>
  <c r="K594" i="1"/>
  <c r="K595" i="1"/>
  <c r="K596" i="1"/>
  <c r="K597" i="1"/>
  <c r="H598" i="1"/>
  <c r="H649" i="1" s="1"/>
  <c r="I598" i="1"/>
  <c r="H650" i="1"/>
  <c r="J650" i="1" s="1"/>
  <c r="J598" i="1"/>
  <c r="H651" i="1" s="1"/>
  <c r="J651" i="1" s="1"/>
  <c r="K602" i="1"/>
  <c r="K603" i="1"/>
  <c r="K605" i="1" s="1"/>
  <c r="G648" i="1" s="1"/>
  <c r="J648" i="1" s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/>
  <c r="G257" i="1"/>
  <c r="G271" i="1" s="1"/>
  <c r="C18" i="2"/>
  <c r="C26" i="10"/>
  <c r="L328" i="1"/>
  <c r="H660" i="1" s="1"/>
  <c r="H664" i="1" s="1"/>
  <c r="L351" i="1"/>
  <c r="I662" i="1"/>
  <c r="L290" i="1"/>
  <c r="A31" i="12"/>
  <c r="A40" i="12"/>
  <c r="D12" i="13"/>
  <c r="C12" i="13"/>
  <c r="D62" i="2"/>
  <c r="D63" i="2" s="1"/>
  <c r="D18" i="13"/>
  <c r="C18" i="13"/>
  <c r="D15" i="13"/>
  <c r="C15" i="13" s="1"/>
  <c r="D7" i="13"/>
  <c r="C7" i="13"/>
  <c r="D18" i="2"/>
  <c r="D17" i="13"/>
  <c r="C17" i="13" s="1"/>
  <c r="E8" i="13"/>
  <c r="C8" i="13" s="1"/>
  <c r="C91" i="2"/>
  <c r="F78" i="2"/>
  <c r="F81" i="2" s="1"/>
  <c r="F104" i="2" s="1"/>
  <c r="D31" i="2"/>
  <c r="D50" i="2"/>
  <c r="G157" i="2"/>
  <c r="F18" i="2"/>
  <c r="G156" i="2"/>
  <c r="E115" i="2"/>
  <c r="E103" i="2"/>
  <c r="D91" i="2"/>
  <c r="E62" i="2"/>
  <c r="E63" i="2" s="1"/>
  <c r="E31" i="2"/>
  <c r="G62" i="2"/>
  <c r="D29" i="13"/>
  <c r="C29" i="13" s="1"/>
  <c r="D19" i="13"/>
  <c r="C19" i="13"/>
  <c r="D14" i="13"/>
  <c r="C14" i="13" s="1"/>
  <c r="E13" i="13"/>
  <c r="C13" i="13"/>
  <c r="J617" i="1"/>
  <c r="E78" i="2"/>
  <c r="E81" i="2" s="1"/>
  <c r="L427" i="1"/>
  <c r="J257" i="1"/>
  <c r="J271" i="1" s="1"/>
  <c r="H112" i="1"/>
  <c r="F112" i="1"/>
  <c r="J641" i="1"/>
  <c r="J571" i="1"/>
  <c r="K571" i="1"/>
  <c r="L433" i="1"/>
  <c r="L419" i="1"/>
  <c r="I169" i="1"/>
  <c r="H169" i="1"/>
  <c r="H193" i="1" s="1"/>
  <c r="G629" i="1" s="1"/>
  <c r="J629" i="1" s="1"/>
  <c r="J644" i="1"/>
  <c r="J643" i="1"/>
  <c r="J476" i="1"/>
  <c r="H626" i="1"/>
  <c r="H476" i="1"/>
  <c r="H624" i="1" s="1"/>
  <c r="J624" i="1" s="1"/>
  <c r="F476" i="1"/>
  <c r="H622" i="1"/>
  <c r="J622" i="1" s="1"/>
  <c r="I476" i="1"/>
  <c r="H625" i="1"/>
  <c r="J625" i="1"/>
  <c r="G476" i="1"/>
  <c r="H623" i="1" s="1"/>
  <c r="J623" i="1" s="1"/>
  <c r="G338" i="1"/>
  <c r="G352" i="1" s="1"/>
  <c r="F169" i="1"/>
  <c r="J140" i="1"/>
  <c r="F571" i="1"/>
  <c r="H257" i="1"/>
  <c r="H271" i="1" s="1"/>
  <c r="K545" i="1"/>
  <c r="C29" i="10"/>
  <c r="I661" i="1"/>
  <c r="H140" i="1"/>
  <c r="L401" i="1"/>
  <c r="C139" i="2"/>
  <c r="L393" i="1"/>
  <c r="A13" i="12"/>
  <c r="F22" i="13"/>
  <c r="H25" i="13"/>
  <c r="H33" i="13" s="1"/>
  <c r="J640" i="1"/>
  <c r="J634" i="1"/>
  <c r="H571" i="1"/>
  <c r="L560" i="1"/>
  <c r="J545" i="1"/>
  <c r="H338" i="1"/>
  <c r="H352" i="1" s="1"/>
  <c r="F338" i="1"/>
  <c r="F352" i="1"/>
  <c r="G192" i="1"/>
  <c r="H192" i="1"/>
  <c r="E128" i="2"/>
  <c r="C35" i="10"/>
  <c r="L309" i="1"/>
  <c r="E16" i="13"/>
  <c r="C16" i="13" s="1"/>
  <c r="J655" i="1"/>
  <c r="J645" i="1"/>
  <c r="L570" i="1"/>
  <c r="I571" i="1"/>
  <c r="I545" i="1"/>
  <c r="G36" i="2"/>
  <c r="L565" i="1"/>
  <c r="G545" i="1"/>
  <c r="L545" i="1"/>
  <c r="H545" i="1"/>
  <c r="C22" i="13"/>
  <c r="C138" i="2"/>
  <c r="C141" i="2" s="1"/>
  <c r="L337" i="1"/>
  <c r="F62" i="2"/>
  <c r="F63" i="2"/>
  <c r="C23" i="10"/>
  <c r="G163" i="2"/>
  <c r="G162" i="2"/>
  <c r="G160" i="2"/>
  <c r="G159" i="2"/>
  <c r="G158" i="2"/>
  <c r="G103" i="2"/>
  <c r="F103" i="2"/>
  <c r="C103" i="2"/>
  <c r="F91" i="2"/>
  <c r="E50" i="2"/>
  <c r="E51" i="2"/>
  <c r="C50" i="2"/>
  <c r="C51" i="2" s="1"/>
  <c r="F31" i="2"/>
  <c r="C31" i="2"/>
  <c r="E18" i="2"/>
  <c r="E144" i="2"/>
  <c r="E145" i="2" s="1"/>
  <c r="F50" i="2"/>
  <c r="F51" i="2" s="1"/>
  <c r="L338" i="1"/>
  <c r="L352" i="1" s="1"/>
  <c r="G633" i="1" s="1"/>
  <c r="J633" i="1" s="1"/>
  <c r="C24" i="10"/>
  <c r="G660" i="1"/>
  <c r="G664" i="1" s="1"/>
  <c r="G31" i="13"/>
  <c r="G33" i="13"/>
  <c r="I338" i="1"/>
  <c r="I352" i="1" s="1"/>
  <c r="L407" i="1"/>
  <c r="C140" i="2" s="1"/>
  <c r="L571" i="1"/>
  <c r="I192" i="1"/>
  <c r="E91" i="2"/>
  <c r="D51" i="2"/>
  <c r="J654" i="1"/>
  <c r="J653" i="1"/>
  <c r="G21" i="2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G169" i="1"/>
  <c r="G140" i="1"/>
  <c r="F140" i="1"/>
  <c r="F193" i="1"/>
  <c r="G627" i="1" s="1"/>
  <c r="J627" i="1" s="1"/>
  <c r="G63" i="2"/>
  <c r="G42" i="2"/>
  <c r="G16" i="2"/>
  <c r="D31" i="13"/>
  <c r="C31" i="13" s="1"/>
  <c r="F545" i="1"/>
  <c r="H434" i="1"/>
  <c r="D103" i="2"/>
  <c r="I140" i="1"/>
  <c r="I193" i="1" s="1"/>
  <c r="G630" i="1" s="1"/>
  <c r="J630" i="1" s="1"/>
  <c r="A22" i="12"/>
  <c r="H648" i="1"/>
  <c r="J652" i="1"/>
  <c r="J642" i="1"/>
  <c r="G571" i="1"/>
  <c r="I434" i="1"/>
  <c r="G434" i="1"/>
  <c r="I663" i="1"/>
  <c r="C38" i="10"/>
  <c r="E104" i="2" l="1"/>
  <c r="C39" i="10"/>
  <c r="G667" i="1"/>
  <c r="G672" i="1"/>
  <c r="C5" i="10" s="1"/>
  <c r="C144" i="2"/>
  <c r="G48" i="2"/>
  <c r="J51" i="1"/>
  <c r="G552" i="1"/>
  <c r="K549" i="1"/>
  <c r="K552" i="1" s="1"/>
  <c r="D5" i="13"/>
  <c r="C11" i="10"/>
  <c r="L211" i="1"/>
  <c r="C110" i="2"/>
  <c r="C115" i="2" s="1"/>
  <c r="C145" i="2" s="1"/>
  <c r="C118" i="2"/>
  <c r="C128" i="2" s="1"/>
  <c r="D6" i="13"/>
  <c r="C6" i="13" s="1"/>
  <c r="C15" i="10"/>
  <c r="G31" i="2"/>
  <c r="G164" i="2"/>
  <c r="K551" i="1"/>
  <c r="G104" i="2"/>
  <c r="D104" i="2"/>
  <c r="H672" i="1"/>
  <c r="C6" i="10" s="1"/>
  <c r="H667" i="1"/>
  <c r="G161" i="2"/>
  <c r="G50" i="2"/>
  <c r="G8" i="2"/>
  <c r="G18" i="2" s="1"/>
  <c r="J19" i="1"/>
  <c r="G621" i="1" s="1"/>
  <c r="C27" i="10"/>
  <c r="G635" i="1"/>
  <c r="J635" i="1" s="1"/>
  <c r="J32" i="1"/>
  <c r="G22" i="2"/>
  <c r="F552" i="1"/>
  <c r="K550" i="1"/>
  <c r="G631" i="1"/>
  <c r="J631" i="1" s="1"/>
  <c r="G646" i="1"/>
  <c r="C36" i="10"/>
  <c r="G193" i="1"/>
  <c r="G628" i="1" s="1"/>
  <c r="J628" i="1" s="1"/>
  <c r="C63" i="2"/>
  <c r="C104" i="2" s="1"/>
  <c r="L408" i="1"/>
  <c r="E33" i="13"/>
  <c r="D35" i="13" s="1"/>
  <c r="C25" i="13"/>
  <c r="G51" i="2" l="1"/>
  <c r="F660" i="1"/>
  <c r="L257" i="1"/>
  <c r="L271" i="1" s="1"/>
  <c r="G632" i="1" s="1"/>
  <c r="J632" i="1" s="1"/>
  <c r="G637" i="1"/>
  <c r="J637" i="1" s="1"/>
  <c r="H646" i="1"/>
  <c r="J646" i="1" s="1"/>
  <c r="C28" i="10"/>
  <c r="G626" i="1"/>
  <c r="J626" i="1" s="1"/>
  <c r="J52" i="1"/>
  <c r="H621" i="1" s="1"/>
  <c r="J621" i="1"/>
  <c r="H656" i="1"/>
  <c r="C41" i="10"/>
  <c r="D36" i="10" s="1"/>
  <c r="C5" i="13"/>
  <c r="D33" i="13"/>
  <c r="D36" i="13" s="1"/>
  <c r="D12" i="10" l="1"/>
  <c r="D17" i="10"/>
  <c r="D18" i="10"/>
  <c r="D21" i="10"/>
  <c r="D25" i="10"/>
  <c r="D22" i="10"/>
  <c r="D13" i="10"/>
  <c r="D19" i="10"/>
  <c r="D20" i="10"/>
  <c r="D23" i="10"/>
  <c r="D16" i="10"/>
  <c r="C30" i="10"/>
  <c r="D26" i="10"/>
  <c r="D10" i="10"/>
  <c r="D24" i="10"/>
  <c r="D15" i="10"/>
  <c r="D11" i="10"/>
  <c r="D40" i="10"/>
  <c r="D37" i="10"/>
  <c r="D35" i="10"/>
  <c r="D39" i="10"/>
  <c r="D38" i="10"/>
  <c r="D27" i="10"/>
  <c r="F664" i="1"/>
  <c r="I660" i="1"/>
  <c r="I664" i="1" s="1"/>
  <c r="D28" i="10" l="1"/>
  <c r="I672" i="1"/>
  <c r="C7" i="10" s="1"/>
  <c r="I667" i="1"/>
  <c r="F672" i="1"/>
  <c r="C4" i="10" s="1"/>
  <c r="F667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<sst xmlns="http://schemas.openxmlformats.org/spreadsheetml/2006/main" count="3969" uniqueCount="915">
  <si>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</si>
  <si>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</si>
  <si>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</si>
  <si>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</si>
  <si>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</si>
  <si>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</si>
  <si>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</si>
  <si>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</si>
  <si>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</si>
  <si>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</si>
  <si>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</si>
  <si>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</si>
  <si>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</si>
  <si>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</si>
  <si>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</si>
  <si>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</si>
  <si>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</si>
  <si>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</si>
  <si>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</si>
  <si>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</si>
  <si>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</si>
  <si>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</si>
  <si>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</si>
  <si>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</si>
  <si>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</si>
  <si>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</si>
  <si>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</si>
  <si>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</si>
  <si>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</si>
  <si>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</si>
  <si>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</si>
  <si>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</si>
  <si>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</si>
  <si>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</si>
  <si>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</si>
  <si>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</si>
  <si>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</si>
  <si>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</si>
  <si>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</si>
  <si>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</si>
  <si>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</si>
  <si>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</si>
  <si>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</si>
  <si>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</si>
  <si>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</si>
  <si>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</si>
  <si>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</si>
  <si>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</si>
  <si>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</si>
  <si>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</si>
  <si>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</si>
  <si>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</si>
  <si>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</si>
  <si>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</si>
  <si>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</si>
  <si>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</si>
  <si>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</si>
  <si>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</si>
  <si>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</si>
  <si>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</si>
  <si>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</si>
  <si>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</si>
  <si>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</si>
  <si>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</si>
  <si>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</si>
  <si>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</si>
  <si>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</si>
  <si>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</si>
  <si>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</si>
  <si>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</si>
  <si>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</si>
  <si>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</si>
  <si>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</si>
  <si>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</si>
  <si>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</si>
  <si>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</si>
  <si>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</si>
  <si>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</si>
  <si>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</si>
  <si>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</si>
  <si>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</si>
  <si>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</si>
  <si>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</si>
  <si>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</si>
  <si>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</si>
  <si>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</si>
  <si>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</si>
  <si>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</si>
  <si>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</si>
  <si>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</si>
  <si>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</si>
  <si>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</si>
  <si>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</si>
  <si>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</si>
  <si>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</si>
  <si>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</si>
  <si>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</si>
  <si>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</si>
  <si>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</si>
  <si>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</si>
  <si>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</si>
  <si>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</si>
  <si>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</si>
  <si>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</si>
  <si>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</si>
  <si>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</si>
  <si>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</si>
  <si>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</si>
  <si>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</si>
  <si>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</si>
  <si>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</si>
  <si>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</si>
  <si>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</si>
  <si>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</si>
  <si>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</si>
  <si>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</si>
  <si>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</si>
  <si>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</si>
  <si>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</si>
  <si>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</si>
  <si>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</si>
  <si>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</si>
  <si>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</si>
  <si>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</si>
  <si>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</si>
  <si>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</si>
  <si>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</si>
  <si>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</si>
  <si>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</si>
  <si>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</si>
  <si>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</si>
  <si>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</si>
  <si>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</si>
  <si>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</si>
  <si>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</si>
  <si>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</si>
  <si>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</si>
  <si>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</si>
  <si>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</si>
  <si>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</si>
  <si>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</si>
  <si>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</si>
  <si>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</si>
  <si>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</si>
  <si>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</si>
  <si>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</si>
  <si>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</si>
  <si>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</si>
  <si>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</si>
  <si>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</si>
  <si>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</si>
  <si>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</si>
  <si>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</si>
  <si>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</si>
  <si>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</si>
  <si>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</si>
  <si>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</si>
  <si>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</si>
  <si>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</si>
  <si>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</si>
  <si>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</si>
  <si>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</si>
  <si>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</si>
  <si>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</si>
  <si>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</si>
  <si>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</si>
  <si>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</si>
  <si>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</si>
  <si>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</si>
  <si>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</si>
  <si>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</si>
  <si>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</si>
  <si>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</si>
  <si>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</si>
  <si>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</si>
  <si>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</si>
  <si>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</si>
  <si>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</si>
  <si>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</si>
  <si>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</si>
  <si>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</si>
  <si>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</si>
  <si>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</si>
  <si>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</si>
  <si>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</si>
  <si>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</si>
  <si>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</si>
  <si>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</si>
  <si>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</si>
  <si>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</si>
  <si>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</si>
  <si>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</si>
  <si>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</si>
  <si>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</si>
  <si>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</si>
  <si>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</si>
  <si>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</si>
  <si>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</si>
  <si>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</si>
  <si>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</si>
  <si>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</si>
  <si>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</si>
  <si>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</si>
  <si>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</si>
  <si>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</si>
  <si>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</si>
  <si>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</si>
  <si>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</si>
  <si>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</si>
  <si>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</si>
  <si>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</si>
  <si>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</si>
  <si>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</si>
  <si>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</si>
  <si>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</si>
  <si>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</si>
  <si>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</si>
  <si>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</si>
  <si>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</si>
  <si>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</si>
  <si>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</si>
  <si>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</si>
  <si>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</si>
  <si>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</si>
  <si>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</si>
  <si>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</si>
  <si>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</si>
  <si>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</si>
  <si>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</si>
  <si>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</si>
  <si>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</si>
  <si>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</si>
  <si>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</si>
  <si>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</si>
  <si>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</si>
  <si>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</si>
  <si>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</si>
  <si>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</si>
  <si>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</si>
  <si>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</si>
  <si>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</si>
  <si>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</si>
  <si>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</si>
  <si>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</si>
  <si>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</si>
  <si>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</si>
  <si>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</si>
  <si>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</si>
  <si>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</si>
  <si>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</si>
  <si>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</si>
  <si>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</si>
  <si>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</si>
  <si>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</si>
  <si>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</si>
  <si>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</si>
  <si>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</si>
  <si>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</si>
  <si>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</si>
  <si>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</si>
  <si>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</si>
  <si>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</si>
  <si>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</si>
  <si>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</si>
  <si>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</si>
  <si>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</si>
  <si>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</si>
  <si>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</si>
  <si>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</si>
  <si>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</si>
  <si>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</si>
  <si>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</si>
  <si>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</si>
  <si>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</si>
  <si>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</si>
  <si>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</si>
  <si>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</si>
  <si>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</si>
  <si>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</si>
  <si>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</si>
  <si>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</si>
  <si>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</si>
  <si>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</si>
  <si>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</si>
  <si>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</si>
  <si>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</si>
  <si>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</si>
  <si>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</si>
  <si>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</si>
  <si>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</si>
  <si>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</si>
  <si>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</si>
  <si>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</si>
  <si>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</si>
  <si>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</si>
  <si>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</si>
  <si>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</si>
  <si>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</si>
  <si>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</si>
  <si>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</si>
  <si>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</si>
  <si>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</si>
  <si>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</si>
  <si>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</si>
  <si>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</si>
  <si>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</si>
  <si>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</si>
  <si>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</si>
  <si>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</si>
  <si>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</si>
  <si>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</si>
  <si>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</si>
  <si>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</si>
  <si>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</si>
  <si>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</si>
  <si>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</si>
  <si>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</si>
  <si>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</si>
  <si>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</si>
  <si>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</si>
  <si>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</si>
  <si>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</si>
  <si>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</si>
  <si>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</si>
  <si>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</si>
  <si>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</si>
  <si>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</si>
  <si>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</si>
  <si>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</si>
  <si>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</si>
  <si>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</si>
  <si>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</si>
  <si>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</si>
  <si>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</si>
  <si>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</si>
  <si>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</si>
  <si>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</si>
  <si>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</si>
  <si>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</si>
  <si>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</si>
  <si>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</si>
  <si>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</si>
  <si>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</si>
  <si>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</si>
  <si>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</si>
  <si>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</si>
  <si>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</si>
  <si>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</si>
  <si>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</si>
  <si>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</si>
  <si>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</si>
  <si>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</si>
  <si>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</si>
  <si>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</si>
  <si>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</si>
  <si>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</si>
  <si>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</si>
  <si>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</si>
  <si>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</si>
  <si>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</si>
  <si>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</si>
  <si>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</si>
  <si>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</si>
  <si>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</si>
  <si>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</si>
  <si>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</si>
  <si>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</si>
  <si>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</si>
  <si>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</si>
  <si>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</si>
  <si>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</si>
  <si>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</si>
  <si>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</si>
  <si>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</si>
  <si>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</si>
  <si>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</si>
  <si>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</si>
  <si>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</si>
  <si>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</si>
  <si>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</si>
  <si>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</si>
  <si>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</si>
  <si>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</si>
  <si>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</si>
  <si>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</si>
  <si>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</si>
  <si>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</si>
  <si>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</si>
  <si>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</si>
  <si>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</si>
  <si>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</si>
  <si>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</si>
  <si>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</si>
  <si>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</si>
  <si>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</si>
  <si>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</si>
  <si>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</si>
  <si>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</si>
  <si>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</si>
  <si>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</si>
  <si>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</si>
  <si>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</si>
  <si>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</si>
  <si>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</si>
  <si>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</si>
  <si>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</si>
  <si>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</si>
  <si>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</si>
  <si>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</si>
  <si>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</si>
  <si>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</si>
  <si>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</si>
  <si>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</si>
  <si>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</si>
  <si>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</si>
  <si>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</si>
  <si>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</si>
  <si>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</si>
  <si>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</si>
  <si>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</si>
  <si>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</si>
  <si>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</si>
  <si>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</si>
  <si>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</si>
  <si>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</si>
  <si>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</si>
  <si>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</si>
  <si>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</si>
  <si>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</si>
  <si>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</si>
  <si>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</si>
  <si>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</si>
  <si>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</si>
  <si>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</si>
  <si>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</si>
  <si>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</si>
  <si>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</si>
  <si>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</si>
  <si>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</si>
  <si>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</si>
  <si>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</si>
  <si>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</si>
  <si>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</si>
  <si>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</si>
  <si>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</si>
  <si>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</si>
  <si>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</si>
  <si>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</si>
  <si>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</si>
  <si>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</si>
  <si>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</si>
  <si>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</si>
  <si>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</si>
  <si>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</si>
  <si>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</si>
  <si>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</si>
  <si>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</si>
  <si>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</si>
  <si>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</si>
  <si>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</si>
  <si>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</si>
  <si>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</si>
  <si>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</si>
  <si>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</si>
  <si>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</si>
  <si>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</si>
  <si>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</si>
  <si>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</si>
  <si>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</si>
  <si>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</si>
  <si>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</si>
  <si>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</si>
  <si>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</si>
  <si>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</si>
  <si>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</si>
  <si>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</si>
  <si>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</si>
  <si>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</si>
  <si>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</si>
  <si>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</si>
  <si>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</si>
  <si>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</si>
  <si>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</si>
  <si>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</si>
  <si>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</si>
  <si>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</si>
  <si>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</si>
  <si>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</si>
  <si>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</si>
  <si>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</si>
  <si>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</si>
  <si>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</si>
  <si>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</si>
  <si>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</si>
  <si>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</si>
  <si>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</si>
  <si>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</si>
  <si>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</si>
  <si>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</si>
  <si>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</si>
  <si>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</si>
  <si>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</si>
  <si>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</si>
  <si>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</si>
  <si>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</si>
  <si>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</si>
  <si>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</si>
  <si>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</si>
  <si>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</si>
  <si>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</si>
  <si>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</si>
  <si>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</si>
  <si>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</si>
  <si>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</si>
  <si>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</si>
  <si>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</si>
  <si>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</si>
  <si>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</si>
  <si>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</si>
  <si>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</si>
  <si>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</si>
  <si>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</si>
  <si>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</si>
  <si>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</si>
  <si>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</si>
  <si>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</si>
  <si>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</si>
  <si>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</si>
  <si>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</si>
  <si>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</si>
  <si>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</si>
  <si>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</si>
  <si>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</si>
  <si>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</si>
  <si>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</si>
  <si>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</si>
  <si>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</si>
  <si>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</si>
  <si>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</si>
  <si>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</si>
  <si>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</si>
  <si>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</si>
  <si>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</si>
  <si>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</si>
  <si>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</si>
  <si>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</si>
  <si>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</si>
  <si>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</si>
  <si>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</si>
  <si>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</si>
  <si>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</si>
  <si>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</si>
  <si>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</si>
  <si>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</si>
  <si>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</si>
  <si>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</si>
  <si>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</si>
  <si>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</si>
  <si>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</si>
  <si>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</si>
  <si>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</si>
  <si>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</si>
  <si>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</si>
  <si>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</si>
  <si>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</si>
  <si>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</si>
  <si>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</si>
  <si>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</si>
  <si>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</si>
  <si>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</si>
  <si>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</si>
  <si>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</si>
  <si>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</si>
  <si>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</si>
  <si>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</si>
  <si>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</si>
  <si>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</si>
  <si>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</si>
  <si>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</si>
  <si>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</si>
  <si>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</si>
  <si>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</si>
  <si>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</si>
  <si>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</si>
  <si>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</si>
  <si>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</si>
  <si>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</si>
  <si>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</si>
  <si>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</si>
  <si>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</si>
  <si>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</si>
  <si>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</si>
  <si>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</si>
  <si>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</si>
  <si>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</si>
  <si>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</si>
  <si>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</si>
  <si>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</si>
  <si>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</si>
  <si>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</si>
  <si>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</si>
  <si>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</si>
  <si>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</si>
  <si>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</si>
  <si>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</si>
  <si>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</si>
  <si>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</si>
  <si>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</si>
  <si>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</si>
  <si>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</si>
  <si>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</si>
  <si>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</si>
  <si>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</si>
  <si>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</si>
  <si>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</si>
  <si>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</si>
  <si>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</si>
  <si>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</si>
  <si>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</si>
  <si>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</si>
  <si>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</si>
  <si>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</si>
  <si>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</si>
  <si>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</si>
  <si>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</si>
  <si>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</si>
  <si>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</si>
  <si>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</si>
  <si>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</si>
  <si>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</si>
  <si>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</si>
  <si>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</si>
  <si>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</si>
  <si>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</si>
  <si>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</si>
  <si>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</si>
  <si>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</si>
  <si>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</si>
  <si>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</si>
  <si>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</si>
  <si>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</si>
  <si>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</si>
  <si>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</si>
  <si>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</si>
  <si>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</si>
  <si>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</si>
  <si>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</si>
  <si>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</si>
  <si>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</si>
  <si>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</si>
  <si>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</si>
  <si>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</si>
  <si>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</si>
  <si>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</si>
  <si>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</si>
  <si>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</si>
  <si>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</si>
  <si>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</si>
  <si>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</si>
  <si>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</si>
  <si>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</si>
  <si>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</si>
  <si>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</si>
  <si>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</si>
  <si>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</si>
  <si>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</si>
  <si>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</si>
  <si>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</si>
  <si>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</si>
  <si>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</si>
  <si>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</si>
  <si>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</si>
  <si>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</si>
  <si>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</si>
  <si>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</si>
  <si>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</si>
  <si>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</si>
  <si>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</si>
  <si>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</si>
  <si>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</si>
  <si>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</si>
  <si>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</si>
  <si>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</si>
  <si>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</si>
  <si>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</si>
  <si>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</si>
  <si>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</si>
  <si>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</si>
  <si>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</si>
  <si>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</si>
  <si>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</si>
  <si>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</si>
  <si>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</si>
  <si>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</si>
  <si>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</si>
  <si>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</si>
  <si>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</si>
  <si>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</si>
  <si>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</si>
  <si>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</si>
  <si>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</si>
  <si>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</si>
  <si>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</si>
  <si>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</si>
  <si>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</si>
  <si>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</si>
  <si>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</si>
  <si>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</si>
  <si>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</si>
  <si>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</si>
  <si>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</si>
  <si>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</si>
  <si>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</si>
  <si>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</si>
  <si>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</si>
  <si>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</si>
  <si>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</si>
  <si>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</si>
  <si>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</si>
  <si>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</si>
  <si>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</si>
  <si>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</si>
  <si>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</si>
  <si>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</si>
  <si>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</si>
  <si>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</si>
  <si>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</si>
  <si>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</si>
  <si>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</si>
  <si>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</si>
  <si>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</si>
  <si>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</si>
  <si>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</si>
  <si>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</si>
  <si>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</si>
  <si>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</si>
  <si>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</si>
  <si>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</si>
  <si>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</si>
  <si>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</si>
  <si>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</si>
  <si>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</si>
  <si>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</si>
  <si>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</si>
  <si>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</si>
  <si>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</si>
  <si>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</si>
  <si>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</si>
  <si>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</si>
  <si>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</si>
  <si>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</si>
  <si>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</si>
  <si>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</si>
  <si>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</si>
  <si>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</si>
  <si>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</si>
  <si>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</si>
  <si>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</si>
  <si>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</si>
  <si>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</si>
  <si>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</si>
  <si>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</si>
  <si>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</si>
  <si>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</si>
  <si>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</si>
  <si>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</si>
  <si>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</si>
  <si>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</si>
  <si>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</si>
  <si>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</si>
  <si>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</si>
  <si>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</si>
  <si>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</si>
  <si>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</si>
  <si>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</si>
  <si>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</si>
  <si>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</si>
  <si>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</si>
  <si>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</si>
  <si>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</si>
  <si>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</si>
  <si>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</si>
  <si>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</si>
  <si>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</si>
  <si>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</si>
  <si>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</si>
  <si>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</si>
  <si>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</si>
  <si>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</si>
  <si>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</si>
  <si>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</si>
  <si>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</si>
  <si>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</si>
  <si>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</si>
  <si>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</si>
  <si>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</si>
  <si>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</si>
  <si>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</si>
  <si>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</si>
  <si>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</si>
  <si>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</si>
  <si>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</si>
  <si>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</si>
  <si>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</si>
  <si>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</si>
  <si>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</si>
  <si>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</si>
  <si>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</si>
  <si>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</si>
  <si>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</si>
  <si>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</si>
  <si>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</si>
  <si>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</si>
  <si>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</si>
  <si>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</si>
  <si>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</si>
  <si>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</si>
  <si>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</si>
  <si>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</si>
  <si>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</si>
  <si>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</si>
  <si>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</si>
  <si>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</si>
  <si>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</si>
  <si>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</si>
  <si>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</si>
  <si>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</si>
  <si>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</si>
  <si>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</si>
  <si>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</si>
  <si>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</si>
  <si>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</si>
  <si>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</si>
  <si>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</si>
  <si>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</si>
  <si>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</si>
  <si>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</si>
  <si>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</si>
  <si>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</si>
  <si>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</si>
  <si>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</si>
  <si>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</si>
  <si>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</si>
  <si>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</si>
  <si>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</si>
  <si>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</si>
  <si>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</si>
  <si>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</si>
  <si>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</si>
  <si>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</si>
  <si>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</si>
  <si>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</si>
  <si>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</si>
  <si>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</si>
  <si>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</si>
  <si>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</si>
  <si>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</si>
  <si>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</si>
  <si>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</si>
  <si>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</si>
  <si>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</si>
  <si>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</si>
  <si>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</si>
  <si>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</si>
  <si>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</si>
  <si>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</si>
  <si>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</si>
  <si>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</si>
  <si>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</si>
  <si>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</si>
  <si>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</si>
  <si>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</si>
  <si>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</si>
  <si>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</si>
  <si>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</si>
  <si>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</si>
  <si>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</si>
  <si>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</si>
  <si>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</si>
  <si>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</si>
  <si>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</si>
  <si>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</si>
  <si>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</si>
  <si>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</si>
  <si>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</si>
  <si>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</si>
  <si>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</si>
  <si>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</si>
  <si>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</si>
  <si>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</si>
  <si>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</si>
  <si>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</si>
  <si>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</si>
  <si>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</si>
  <si>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</si>
  <si>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</si>
  <si>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</si>
  <si>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</si>
  <si>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</si>
  <si>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</si>
  <si>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</si>
  <si>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</si>
  <si>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</si>
  <si>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</si>
  <si>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</si>
  <si>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</si>
  <si>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</si>
  <si>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</si>
  <si>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</si>
  <si>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</si>
  <si>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</si>
  <si>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</si>
  <si>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12/02</t>
  </si>
  <si>
    <t>10/22</t>
  </si>
  <si>
    <t>Barrington School District - SAU #74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</si>
</sst>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41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  <font>
      <u/>
      <sz val="8"/>
      <color theme="10"/>
      <name val="Arial"/>
    </font>
    <font>
      <u/>
      <sz val="8"/>
      <color theme="11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7">
    <xf numFmtId="0" fontId="0" fillId="0" borderId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0" applyNumberFormat="0" applyFill="0" applyBorder="0" applyAlignment="0" applyProtection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zoomScalePageLayoutView="2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I154" sqref="I154"/>
    </sheetView>
  </sheetViews>
  <sheetFormatPr defaultColWidth="9"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914</v>
      </c>
      <c r="B2" s="21">
        <v>33</v>
      </c>
      <c r="C2" s="21">
        <v>33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1351797.93</v>
      </c>
      <c r="G9" s="18"/>
      <c r="H9" s="18">
        <v>541139.81000000006</v>
      </c>
      <c r="I9" s="18"/>
      <c r="J9" s="67">
        <f>SUM(I439)</f>
        <v>1212484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6964.31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>
        <v>6169.14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39392.730000000003</v>
      </c>
      <c r="G13" s="18">
        <v>27723.9</v>
      </c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215278.38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1613433.35</v>
      </c>
      <c r="G19" s="41">
        <f>SUM(G9:G18)</f>
        <v>33893.040000000001</v>
      </c>
      <c r="H19" s="41">
        <f>SUM(H9:H18)</f>
        <v>541139.81000000006</v>
      </c>
      <c r="I19" s="41">
        <f>SUM(I9:I18)</f>
        <v>0</v>
      </c>
      <c r="J19" s="41">
        <f>SUM(J9:J18)</f>
        <v>1212484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107639.19</v>
      </c>
      <c r="G22" s="18">
        <v>20986.79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56485.38</v>
      </c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293222.74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>
        <v>9015.2099999999991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457347.31</v>
      </c>
      <c r="G32" s="41">
        <f>SUM(G22:G31)</f>
        <v>30002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>
        <v>3891.04</v>
      </c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150000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425959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 t="s">
        <v>284</v>
      </c>
      <c r="G48" s="18"/>
      <c r="H48" s="18">
        <v>541139.81000000006</v>
      </c>
      <c r="I48" s="18"/>
      <c r="J48" s="13">
        <f>SUM(I459)</f>
        <v>0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1212484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580127.04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1156086.04</v>
      </c>
      <c r="G51" s="41">
        <f>SUM(G35:G50)</f>
        <v>3891.04</v>
      </c>
      <c r="H51" s="41">
        <f>SUM(H35:H50)</f>
        <v>541139.81000000006</v>
      </c>
      <c r="I51" s="41">
        <f>SUM(I35:I50)</f>
        <v>0</v>
      </c>
      <c r="J51" s="41">
        <f>SUM(J35:J50)</f>
        <v>1212484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1613433.35</v>
      </c>
      <c r="G52" s="41">
        <f>G51+G32</f>
        <v>33893.040000000001</v>
      </c>
      <c r="H52" s="41">
        <f>H51+H32</f>
        <v>541139.81000000006</v>
      </c>
      <c r="I52" s="41">
        <f>I51+I32</f>
        <v>0</v>
      </c>
      <c r="J52" s="41">
        <f>J51+J32</f>
        <v>1212484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14997557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14997557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65924.97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11352.93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77277.899999999994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/>
      <c r="H96" s="18"/>
      <c r="I96" s="18"/>
      <c r="J96" s="18">
        <v>14019.13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175936.4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47328.38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47328.38</v>
      </c>
      <c r="G111" s="41">
        <f>SUM(G96:G110)</f>
        <v>175936.4</v>
      </c>
      <c r="H111" s="41">
        <f>SUM(H96:H110)</f>
        <v>0</v>
      </c>
      <c r="I111" s="41">
        <f>SUM(I96:I110)</f>
        <v>0</v>
      </c>
      <c r="J111" s="41">
        <f>SUM(J96:J110)</f>
        <v>14019.13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15122163.280000001</v>
      </c>
      <c r="G112" s="41">
        <f>G60+G111</f>
        <v>175936.4</v>
      </c>
      <c r="H112" s="41">
        <f>H60+H79+H94+H111</f>
        <v>0</v>
      </c>
      <c r="I112" s="41">
        <f>I60+I111</f>
        <v>0</v>
      </c>
      <c r="J112" s="41">
        <f>J60+J111</f>
        <v>14019.13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4172852.04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2040814.54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27112.51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6240779.0899999999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231529.27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159060.07999999999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3808.05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 t="s">
        <v>284</v>
      </c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390589.35</v>
      </c>
      <c r="G136" s="41">
        <f>SUM(G123:G135)</f>
        <v>3808.05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6631368.4399999995</v>
      </c>
      <c r="G140" s="41">
        <f>G121+SUM(G136:G137)</f>
        <v>3808.05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106079.03999999999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57018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72622.36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249323.84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238821.75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238821.75</v>
      </c>
      <c r="G162" s="41">
        <f>SUM(G150:G161)</f>
        <v>72622.36</v>
      </c>
      <c r="H162" s="41">
        <f>SUM(H150:H161)</f>
        <v>412420.88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238821.75</v>
      </c>
      <c r="G169" s="41">
        <f>G147+G162+SUM(G163:G168)</f>
        <v>72622.36</v>
      </c>
      <c r="H169" s="41">
        <f>H147+H162+SUM(H163:H168)</f>
        <v>412420.88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20438.669999999998</v>
      </c>
      <c r="H179" s="18"/>
      <c r="I179" s="18"/>
      <c r="J179" s="18">
        <v>250000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20438.669999999998</v>
      </c>
      <c r="H183" s="41">
        <f>SUM(H179:H182)</f>
        <v>0</v>
      </c>
      <c r="I183" s="41">
        <f>SUM(I179:I182)</f>
        <v>0</v>
      </c>
      <c r="J183" s="41">
        <f>SUM(J179:J182)</f>
        <v>250000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 t="s">
        <v>284</v>
      </c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20438.669999999998</v>
      </c>
      <c r="H192" s="41">
        <f>+H183+SUM(H188:H191)</f>
        <v>0</v>
      </c>
      <c r="I192" s="41">
        <f>I177+I183+SUM(I188:I191)</f>
        <v>0</v>
      </c>
      <c r="J192" s="41">
        <f>J183</f>
        <v>250000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21992353.469999999</v>
      </c>
      <c r="G193" s="47">
        <f>G112+G140+G169+G192</f>
        <v>272805.48</v>
      </c>
      <c r="H193" s="47">
        <f>H112+H140+H169+H192</f>
        <v>412420.88</v>
      </c>
      <c r="I193" s="47">
        <f>I112+I140+I169+I192</f>
        <v>0</v>
      </c>
      <c r="J193" s="47">
        <f>J112+J140+J192</f>
        <v>264019.13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f>1710+63166.06+1369855.15+282541.42+11360+165111.61+48389+18163</f>
        <v>1960296.2399999998</v>
      </c>
      <c r="G197" s="18">
        <f>6541.34+444691.18+103132.22+383.52+12223.1+1842.28+36+880.65+450+158.08+3146.43+1053.32+5914.12+106828.03+34655.73+13011.63+237849.73+67666.25+1348.79+6812</f>
        <v>1048624.3999999999</v>
      </c>
      <c r="H197" s="18">
        <f>11218.51-54.97+4321.43+124</f>
        <v>15608.970000000001</v>
      </c>
      <c r="I197" s="18">
        <f>1741.96+10946.62+3935.81+750.26+308.08+8756.04+2613.14+484.2+178.03+14664.51+3442.15+221.43+200+112.45+804+820.04+187.63+672.61+339.27+135.5+295.6+29971.69+1010.92+1942.9-90</f>
        <v>84444.839999999982</v>
      </c>
      <c r="J197" s="18">
        <f>935</f>
        <v>935</v>
      </c>
      <c r="K197" s="18">
        <f>163</f>
        <v>163</v>
      </c>
      <c r="L197" s="19">
        <f>SUM(F197:K197)</f>
        <v>3110072.4499999997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f>13411.75+225306.98+38000.04+290671.07+58467.61+636+788.25+6465+10200+12050.16</f>
        <v>655996.8600000001</v>
      </c>
      <c r="G198" s="18">
        <f>181590.8+34268.52+4898.7+672+120+1306.29+223.8+37874.76+8745.47+74244.94+12004.04</f>
        <v>355949.31999999995</v>
      </c>
      <c r="H198" s="18">
        <f>32559.17+56957.52+19645.75</f>
        <v>109162.44</v>
      </c>
      <c r="I198" s="18">
        <f>2394.77+2133.1+1460.5+192.99</f>
        <v>6181.36</v>
      </c>
      <c r="J198" s="18">
        <f>446.66+1512.66+705.8+1284.81</f>
        <v>3949.93</v>
      </c>
      <c r="K198" s="18"/>
      <c r="L198" s="19">
        <f>SUM(F198:K198)</f>
        <v>1131239.9100000001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f>105447.99+21250.06+59398.04+68680.27+91288.74+49829+59750.34+25591.15</f>
        <v>481235.58999999997</v>
      </c>
      <c r="G202" s="18">
        <f>8000+662.58+72+264.02+8586.2+18305.78+887.54+72+249.32+3108.16+4436.9+7378.02+10311.6+31269.57+40528.81+33510.98+10372.7+9562.76+36+64.08+1367.81+2912.32+4436.79</f>
        <v>196395.94000000003</v>
      </c>
      <c r="H202" s="18">
        <f>60+60+15345.4+684.2</f>
        <v>16149.6</v>
      </c>
      <c r="I202" s="18">
        <f>460.48+921.89+536.39+1973.65+369.72+2099.9</f>
        <v>6362.0300000000007</v>
      </c>
      <c r="J202" s="18">
        <f>2190.13+522.25</f>
        <v>2712.38</v>
      </c>
      <c r="K202" s="18">
        <f>4448.85</f>
        <v>4448.8500000000004</v>
      </c>
      <c r="L202" s="19">
        <f t="shared" ref="L202:L208" si="0">SUM(F202:K202)</f>
        <v>707304.39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f>64333.88+46304.57+52999.96</f>
        <v>163638.41</v>
      </c>
      <c r="G203" s="18">
        <f>18165.62+475.08+36+160.18+4731.48+11168.3+24525.4+2015.95+36+129.98+3745.82+9200.88+16641.95</f>
        <v>91032.639999999999</v>
      </c>
      <c r="H203" s="18">
        <f>65237.84+8988.67</f>
        <v>74226.509999999995</v>
      </c>
      <c r="I203" s="18">
        <f>727.46+6793.87-151.28+3275.01+1451.43+352.94+3512+470</f>
        <v>16431.43</v>
      </c>
      <c r="J203" s="18">
        <f>981.28+9532.18+54339+9709+883.05+1028.39+3916.77</f>
        <v>80389.67</v>
      </c>
      <c r="K203" s="18">
        <f>41002.25/2</f>
        <v>20501.125</v>
      </c>
      <c r="L203" s="19">
        <f t="shared" si="0"/>
        <v>446219.78499999997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f>1233.33+140660.87</f>
        <v>141894.19999999998</v>
      </c>
      <c r="G204" s="18">
        <f>142.66+67690.67</f>
        <v>67833.33</v>
      </c>
      <c r="H204" s="18">
        <f>15941.36+6984.24</f>
        <v>22925.599999999999</v>
      </c>
      <c r="I204" s="18">
        <f>1320.77</f>
        <v>1320.77</v>
      </c>
      <c r="J204" s="18">
        <v>839.51</v>
      </c>
      <c r="K204" s="18">
        <f>2955.8+607.66</f>
        <v>3563.46</v>
      </c>
      <c r="L204" s="19">
        <f t="shared" si="0"/>
        <v>238376.86999999997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f>95483.96+79999.92+67408.12+31121.48</f>
        <v>274013.48</v>
      </c>
      <c r="G205" s="18">
        <f>61138.58+9562.92+2249.9+0.1+144+36+603.04+77.16+17244.85+997.1+38134.97+3541.72</f>
        <v>133730.34</v>
      </c>
      <c r="H205" s="18">
        <f>7978.58+3915.29+1500+500+95+373.54</f>
        <v>14362.41</v>
      </c>
      <c r="I205" s="18">
        <f>151.75-99.29+288.57</f>
        <v>341.03</v>
      </c>
      <c r="J205" s="18">
        <f>9304.8+3643.98</f>
        <v>12948.779999999999</v>
      </c>
      <c r="K205" s="18">
        <f>545+89</f>
        <v>634</v>
      </c>
      <c r="L205" s="19">
        <f t="shared" si="0"/>
        <v>436030.03999999992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39813.019999999997</v>
      </c>
      <c r="G206" s="18">
        <v>23933.65</v>
      </c>
      <c r="H206" s="18">
        <v>5012.41</v>
      </c>
      <c r="I206" s="18">
        <v>420.37</v>
      </c>
      <c r="J206" s="18"/>
      <c r="K206" s="18"/>
      <c r="L206" s="19">
        <f t="shared" si="0"/>
        <v>69179.45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f>89079.86+117364.52+320.96+10426.55</f>
        <v>217191.88999999998</v>
      </c>
      <c r="G207" s="18">
        <f>32408.17+34690.76+1485.34+141+289.24+10237.34+12942.06</f>
        <v>92193.909999999989</v>
      </c>
      <c r="H207" s="18">
        <f>195.81+956.61+500+47651.8+567.5+1154+500+864.5+1260.5+14009+8526+1350+1200+5054+3003.5+4128+1560+1196.47+47283.72+13871.39+3489.35+17816+3885.89+720+360</f>
        <v>181104.04</v>
      </c>
      <c r="I207" s="18">
        <f>14969.9+6799.99+3214.25+39026.16+11049.3+4967.97+41730.58+23277.72</f>
        <v>145035.87</v>
      </c>
      <c r="J207" s="18">
        <f>8738.17</f>
        <v>8738.17</v>
      </c>
      <c r="K207" s="18"/>
      <c r="L207" s="19">
        <f t="shared" si="0"/>
        <v>644263.88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 t="s">
        <v>284</v>
      </c>
      <c r="G208" s="18"/>
      <c r="H208" s="18">
        <f>25949.5+209090.72+85989.57+84954.9+3443.56+206.06</f>
        <v>409634.31000000006</v>
      </c>
      <c r="I208" s="18"/>
      <c r="J208" s="18">
        <v>1000</v>
      </c>
      <c r="K208" s="18"/>
      <c r="L208" s="19">
        <f t="shared" si="0"/>
        <v>410634.31000000006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3934079.69</v>
      </c>
      <c r="G211" s="41">
        <f t="shared" si="1"/>
        <v>2009693.5299999996</v>
      </c>
      <c r="H211" s="41">
        <f t="shared" si="1"/>
        <v>848186.29</v>
      </c>
      <c r="I211" s="41">
        <f t="shared" si="1"/>
        <v>260537.69999999995</v>
      </c>
      <c r="J211" s="41">
        <f t="shared" si="1"/>
        <v>111513.43999999999</v>
      </c>
      <c r="K211" s="41">
        <f t="shared" si="1"/>
        <v>29310.434999999998</v>
      </c>
      <c r="L211" s="41">
        <f t="shared" si="1"/>
        <v>7193321.084999999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f>1710+63166.06+1468618.31+34769.5</f>
        <v>1568263.87</v>
      </c>
      <c r="G215" s="18">
        <f>6541.34+349250.84+383.52+10682.39+36+1033.65+158.08+3617.58+5914.12+113921.39+13011.64+255099.57+1348.79+6812</f>
        <v>767810.91000000015</v>
      </c>
      <c r="H215" s="18">
        <f>6009.97+70+369</f>
        <v>6448.97</v>
      </c>
      <c r="I215" s="18">
        <f>12628.99+1987.28+1632.56+997.72+928.95+5633.26+4394.82+782.28+978.36+2218.47+726.05+795.67+1240.84+29971.68+4859.88</f>
        <v>69776.81</v>
      </c>
      <c r="J215" s="18">
        <f>331.02</f>
        <v>331.02</v>
      </c>
      <c r="K215" s="18">
        <f>2594</f>
        <v>2594</v>
      </c>
      <c r="L215" s="19">
        <f>SUM(F215:K215)</f>
        <v>2415225.5800000005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f>13411.75+264840.85+387169.76+236+3077.24+8587.5</f>
        <v>677323.1</v>
      </c>
      <c r="G216" s="18">
        <f>198573.37+4709.02+804+1639.49+2164.88+48285.94+3614.99+90042.39</f>
        <v>349834.07999999996</v>
      </c>
      <c r="H216" s="18">
        <f>32559.18+117122.42+4635.75</f>
        <v>154317.35</v>
      </c>
      <c r="I216" s="18">
        <f>3288.09+2032.76</f>
        <v>5320.85</v>
      </c>
      <c r="J216" s="18">
        <f>1744.76+3124.94+1284.81</f>
        <v>6154.51</v>
      </c>
      <c r="K216" s="18"/>
      <c r="L216" s="19">
        <f>SUM(F216:K216)</f>
        <v>1192949.8900000001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f>13000+30000+200</f>
        <v>43200</v>
      </c>
      <c r="G218" s="18">
        <f>994.51+2008.63+3110.17+3676.92</f>
        <v>9790.23</v>
      </c>
      <c r="H218" s="18">
        <f>6385</f>
        <v>6385</v>
      </c>
      <c r="I218" s="18">
        <f>4815.69</f>
        <v>4815.6899999999996</v>
      </c>
      <c r="J218" s="18"/>
      <c r="K218" s="18">
        <v>642</v>
      </c>
      <c r="L218" s="19">
        <f>SUM(F218:K218)</f>
        <v>64832.92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f>104002.63+21250.06+53076.36+68680.26+91288.75+49829.01+25318.44</f>
        <v>413445.51</v>
      </c>
      <c r="G220" s="18">
        <f>48493.8+1046.2+72+262.78+7548+18054.82+53050.8+36+126.06+4366.28+9214.14+31269.57+40528.81+33510.97+1000+36+63.58+1936.89+2881.26</f>
        <v>253497.96000000002</v>
      </c>
      <c r="H220" s="18">
        <f>60+15345.4</f>
        <v>15405.4</v>
      </c>
      <c r="I220" s="18">
        <f>168.08+1100.7+1973.65+369.72</f>
        <v>3612.1500000000005</v>
      </c>
      <c r="J220" s="18">
        <f>2205.92</f>
        <v>2205.92</v>
      </c>
      <c r="K220" s="18">
        <f>4448.85</f>
        <v>4448.8500000000004</v>
      </c>
      <c r="L220" s="19">
        <f t="shared" ref="L220:L226" si="2">SUM(F220:K220)</f>
        <v>692615.79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f>54999.88+46304.57+52999.96</f>
        <v>154304.41</v>
      </c>
      <c r="G221" s="18">
        <f>18165.62+475.16+36+135.28+4115.54+9547.98+24525.4+59.65+36+129.98+3706.04+9200.88+16641.95</f>
        <v>86775.48</v>
      </c>
      <c r="H221" s="18">
        <f>65237.84+8998.68</f>
        <v>74236.51999999999</v>
      </c>
      <c r="I221" s="18">
        <f>738.43+5396.18+3397.01+1665.51+10811.11</f>
        <v>22008.240000000002</v>
      </c>
      <c r="J221" s="18">
        <f>887.95+9532.17+39480+1465.52+5933.42</f>
        <v>57299.06</v>
      </c>
      <c r="K221" s="18">
        <f>20501.12</f>
        <v>20501.12</v>
      </c>
      <c r="L221" s="19">
        <f t="shared" si="2"/>
        <v>415124.83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f>1233.33+140660.86</f>
        <v>141894.18999999997</v>
      </c>
      <c r="G222" s="18">
        <f>142.66+67690.66</f>
        <v>67833.320000000007</v>
      </c>
      <c r="H222" s="18">
        <f>15941.36+6984.23</f>
        <v>22925.59</v>
      </c>
      <c r="I222" s="18">
        <v>1320.76</v>
      </c>
      <c r="J222" s="18">
        <v>839.5</v>
      </c>
      <c r="K222" s="18">
        <f>2955.8+607.66</f>
        <v>3563.46</v>
      </c>
      <c r="L222" s="19">
        <f t="shared" si="2"/>
        <v>238376.81999999998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f>91518.96+80826.2+62740.7</f>
        <v>235085.86</v>
      </c>
      <c r="G223" s="18">
        <f>14082.68+1133.64+144+567.42+18183.53+37059.18</f>
        <v>71170.45</v>
      </c>
      <c r="H223" s="18">
        <f>12116.12+1500+1811.04+312.76</f>
        <v>15739.92</v>
      </c>
      <c r="I223" s="18">
        <f>288.97</f>
        <v>288.97000000000003</v>
      </c>
      <c r="J223" s="18">
        <f>11631</f>
        <v>11631</v>
      </c>
      <c r="K223" s="18">
        <f>70+1437.88</f>
        <v>1507.88</v>
      </c>
      <c r="L223" s="19">
        <f t="shared" si="2"/>
        <v>335424.07999999996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39813.019999999997</v>
      </c>
      <c r="G224" s="18">
        <v>23933.65</v>
      </c>
      <c r="H224" s="18">
        <v>5012.41</v>
      </c>
      <c r="I224" s="18">
        <v>420.36</v>
      </c>
      <c r="J224" s="18"/>
      <c r="K224" s="18"/>
      <c r="L224" s="19">
        <f t="shared" si="2"/>
        <v>69179.44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f>89079.86+320.96+117364.3+10426.54</f>
        <v>217191.66</v>
      </c>
      <c r="G225" s="18">
        <f>32408.16+34690.76+1485.34+141+289.24+8644.2+11905.34</f>
        <v>89564.04</v>
      </c>
      <c r="H225" s="18">
        <f>195.81+804.65+500+47651.8+567.5+1758+925.5+23360+1350+2885.5+4128+1196.47+39761.45+3489.35+17816+3885.89+360</f>
        <v>150635.92000000004</v>
      </c>
      <c r="I225" s="18">
        <f>25006.81+86989.85+29246.54+47390.65</f>
        <v>188633.85</v>
      </c>
      <c r="J225" s="18">
        <f>8738.17</f>
        <v>8738.17</v>
      </c>
      <c r="K225" s="18"/>
      <c r="L225" s="19">
        <f t="shared" si="2"/>
        <v>654763.64000000013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f>25949.5+212529.4+85989.7+5262.8+5702.81</f>
        <v>335434.20999999996</v>
      </c>
      <c r="I226" s="18"/>
      <c r="J226" s="18">
        <v>1000</v>
      </c>
      <c r="K226" s="18"/>
      <c r="L226" s="19">
        <f t="shared" si="2"/>
        <v>336434.20999999996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3490521.6200000006</v>
      </c>
      <c r="G229" s="41">
        <f>SUM(G215:G228)</f>
        <v>1720210.12</v>
      </c>
      <c r="H229" s="41">
        <f>SUM(H215:H228)</f>
        <v>786541.29</v>
      </c>
      <c r="I229" s="41">
        <f>SUM(I215:I228)</f>
        <v>296197.68</v>
      </c>
      <c r="J229" s="41">
        <f>SUM(J215:J228)</f>
        <v>88199.18</v>
      </c>
      <c r="K229" s="41">
        <f t="shared" si="3"/>
        <v>33257.31</v>
      </c>
      <c r="L229" s="41">
        <f t="shared" si="3"/>
        <v>6414927.200000002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f>2454740.71+1420256.71+2134762.63-39392.73</f>
        <v>5970367.3199999994</v>
      </c>
      <c r="I233" s="18"/>
      <c r="J233" s="18"/>
      <c r="K233" s="18"/>
      <c r="L233" s="19">
        <f>SUM(F233:K233)</f>
        <v>5970367.3199999994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f>4686.82</f>
        <v>4686.82</v>
      </c>
      <c r="G234" s="18"/>
      <c r="H234" s="18">
        <f>284363.44+73289.08+578985.77</f>
        <v>936638.29</v>
      </c>
      <c r="I234" s="18">
        <v>38.619999999999997</v>
      </c>
      <c r="J234" s="18"/>
      <c r="K234" s="18"/>
      <c r="L234" s="19">
        <f>SUM(F234:K234)</f>
        <v>941363.73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f>1233.34+140660.86</f>
        <v>141894.19999999998</v>
      </c>
      <c r="G240" s="18">
        <f>142.66+67690.66</f>
        <v>67833.320000000007</v>
      </c>
      <c r="H240" s="18">
        <f>6984.23+15941.36</f>
        <v>22925.59</v>
      </c>
      <c r="I240" s="18">
        <v>1320.76</v>
      </c>
      <c r="J240" s="18">
        <f>839.51</f>
        <v>839.51</v>
      </c>
      <c r="K240" s="18">
        <f>607.66+2955.8</f>
        <v>3563.46</v>
      </c>
      <c r="L240" s="19">
        <f t="shared" si="4"/>
        <v>238376.84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39813.019999999997</v>
      </c>
      <c r="G242" s="18">
        <v>23933.65</v>
      </c>
      <c r="H242" s="18">
        <v>5012.41</v>
      </c>
      <c r="I242" s="18">
        <v>420.36</v>
      </c>
      <c r="J242" s="18"/>
      <c r="K242" s="18"/>
      <c r="L242" s="19">
        <f t="shared" si="4"/>
        <v>69179.44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f>236143.6+84954.9</f>
        <v>321098.5</v>
      </c>
      <c r="I244" s="18"/>
      <c r="J244" s="18"/>
      <c r="K244" s="18"/>
      <c r="L244" s="19">
        <f t="shared" si="4"/>
        <v>321098.5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186394.03999999998</v>
      </c>
      <c r="G247" s="41">
        <f t="shared" si="5"/>
        <v>91766.97</v>
      </c>
      <c r="H247" s="41">
        <f t="shared" si="5"/>
        <v>7256042.1099999994</v>
      </c>
      <c r="I247" s="41">
        <f t="shared" si="5"/>
        <v>1779.7399999999998</v>
      </c>
      <c r="J247" s="41">
        <f t="shared" si="5"/>
        <v>839.51</v>
      </c>
      <c r="K247" s="41">
        <f t="shared" si="5"/>
        <v>3563.46</v>
      </c>
      <c r="L247" s="41">
        <f t="shared" si="5"/>
        <v>7540385.8299999991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f>86635.49</f>
        <v>86635.49</v>
      </c>
      <c r="I255" s="18"/>
      <c r="J255" s="18"/>
      <c r="K255" s="18"/>
      <c r="L255" s="19">
        <f t="shared" si="6"/>
        <v>86635.49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86635.49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86635.49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7610995.3500000006</v>
      </c>
      <c r="G257" s="41">
        <f t="shared" si="8"/>
        <v>3821670.6199999996</v>
      </c>
      <c r="H257" s="41">
        <f t="shared" si="8"/>
        <v>8977405.1799999997</v>
      </c>
      <c r="I257" s="41">
        <f t="shared" si="8"/>
        <v>558515.11999999988</v>
      </c>
      <c r="J257" s="41">
        <f t="shared" si="8"/>
        <v>200552.13</v>
      </c>
      <c r="K257" s="41">
        <f t="shared" si="8"/>
        <v>66131.205000000002</v>
      </c>
      <c r="L257" s="41">
        <f t="shared" si="8"/>
        <v>21235269.604999997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710000</v>
      </c>
      <c r="L260" s="19">
        <f>SUM(F260:K260)</f>
        <v>710000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183535</v>
      </c>
      <c r="L261" s="19">
        <f>SUM(F261:K261)</f>
        <v>183535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20438.669999999998</v>
      </c>
      <c r="L263" s="19">
        <f>SUM(F263:K263)</f>
        <v>20438.669999999998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 t="s">
        <v>284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250000</v>
      </c>
      <c r="L266" s="19">
        <f t="shared" si="9"/>
        <v>250000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1163973.67</v>
      </c>
      <c r="L270" s="41">
        <f t="shared" si="9"/>
        <v>1163973.67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7610995.3500000006</v>
      </c>
      <c r="G271" s="42">
        <f t="shared" si="11"/>
        <v>3821670.6199999996</v>
      </c>
      <c r="H271" s="42">
        <f t="shared" si="11"/>
        <v>8977405.1799999997</v>
      </c>
      <c r="I271" s="42">
        <f t="shared" si="11"/>
        <v>558515.11999999988</v>
      </c>
      <c r="J271" s="42">
        <f t="shared" si="11"/>
        <v>200552.13</v>
      </c>
      <c r="K271" s="42">
        <f t="shared" si="11"/>
        <v>1230104.875</v>
      </c>
      <c r="L271" s="42">
        <f t="shared" si="11"/>
        <v>22399243.274999999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f>586+3136+7263.14+68410.18+2726.71</f>
        <v>82122.03</v>
      </c>
      <c r="G276" s="18">
        <f>1591+9+6.98+44.84+91.84+239.92+356.88+11943.92+75+105.43+5006.9+5345.24</f>
        <v>24816.949999999997</v>
      </c>
      <c r="H276" s="18">
        <f>3438.68+17925</f>
        <v>21363.68</v>
      </c>
      <c r="I276" s="18">
        <f>666.27+4927.9+97.05</f>
        <v>5691.22</v>
      </c>
      <c r="J276" s="18"/>
      <c r="K276" s="18"/>
      <c r="L276" s="19">
        <f>SUM(F276:K276)</f>
        <v>133993.88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f>91089.14+42099.98</f>
        <v>133189.12</v>
      </c>
      <c r="G277" s="18">
        <f>4241.08+4240.72+115.34+6+12+6+10.36+8.75+4000+662.46+60+197.2+2952.56+6740.31+7308.6+15813.14</f>
        <v>46374.520000000004</v>
      </c>
      <c r="H277" s="18">
        <f>3671.95+6409.8</f>
        <v>10081.75</v>
      </c>
      <c r="I277" s="18">
        <v>594.15</v>
      </c>
      <c r="J277" s="18"/>
      <c r="K277" s="18"/>
      <c r="L277" s="19">
        <f>SUM(F277:K277)</f>
        <v>190239.54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215311.15</v>
      </c>
      <c r="G290" s="42">
        <f t="shared" si="13"/>
        <v>71191.47</v>
      </c>
      <c r="H290" s="42">
        <f t="shared" si="13"/>
        <v>31445.43</v>
      </c>
      <c r="I290" s="42">
        <f t="shared" si="13"/>
        <v>6285.37</v>
      </c>
      <c r="J290" s="42">
        <f t="shared" si="13"/>
        <v>0</v>
      </c>
      <c r="K290" s="42">
        <f t="shared" si="13"/>
        <v>0</v>
      </c>
      <c r="L290" s="41">
        <f t="shared" si="13"/>
        <v>324233.42000000004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f>7263.13+2726.72</f>
        <v>9989.85</v>
      </c>
      <c r="G295" s="18"/>
      <c r="H295" s="18">
        <f>17925</f>
        <v>17925</v>
      </c>
      <c r="I295" s="18">
        <v>594.15</v>
      </c>
      <c r="J295" s="18"/>
      <c r="K295" s="18"/>
      <c r="L295" s="19">
        <f>SUM(F295:K295)</f>
        <v>28509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f>44500.04</f>
        <v>44500.04</v>
      </c>
      <c r="G296" s="18">
        <f>4000+60+180.47+3212.82+7725.12</f>
        <v>15178.41</v>
      </c>
      <c r="H296" s="18"/>
      <c r="I296" s="18"/>
      <c r="J296" s="18"/>
      <c r="K296" s="18"/>
      <c r="L296" s="19">
        <f>SUM(F296:K296)</f>
        <v>59678.45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54489.89</v>
      </c>
      <c r="G309" s="42">
        <f t="shared" si="15"/>
        <v>15178.41</v>
      </c>
      <c r="H309" s="42">
        <f t="shared" si="15"/>
        <v>17925</v>
      </c>
      <c r="I309" s="42">
        <f t="shared" si="15"/>
        <v>594.15</v>
      </c>
      <c r="J309" s="42">
        <f t="shared" si="15"/>
        <v>0</v>
      </c>
      <c r="K309" s="42">
        <f t="shared" si="15"/>
        <v>0</v>
      </c>
      <c r="L309" s="41">
        <f t="shared" si="15"/>
        <v>88187.45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269801.03999999998</v>
      </c>
      <c r="G338" s="41">
        <f t="shared" si="20"/>
        <v>86369.88</v>
      </c>
      <c r="H338" s="41">
        <f t="shared" si="20"/>
        <v>49370.43</v>
      </c>
      <c r="I338" s="41">
        <f t="shared" si="20"/>
        <v>6879.5199999999995</v>
      </c>
      <c r="J338" s="41">
        <f t="shared" si="20"/>
        <v>0</v>
      </c>
      <c r="K338" s="41">
        <f t="shared" si="20"/>
        <v>0</v>
      </c>
      <c r="L338" s="41">
        <f t="shared" si="20"/>
        <v>412420.87000000005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269801.03999999998</v>
      </c>
      <c r="G352" s="41">
        <f>G338</f>
        <v>86369.88</v>
      </c>
      <c r="H352" s="41">
        <f>H338</f>
        <v>49370.43</v>
      </c>
      <c r="I352" s="41">
        <f>I338</f>
        <v>6879.5199999999995</v>
      </c>
      <c r="J352" s="41">
        <f>J338</f>
        <v>0</v>
      </c>
      <c r="K352" s="47">
        <f>K338+K351</f>
        <v>0</v>
      </c>
      <c r="L352" s="41">
        <f>L338+L351</f>
        <v>412420.87000000005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f>SUM(292890.7+6274.96+542.64-27233.9)/2</f>
        <v>136237.20000000001</v>
      </c>
      <c r="I358" s="18"/>
      <c r="J358" s="18"/>
      <c r="K358" s="18">
        <f>331.08/2</f>
        <v>165.54</v>
      </c>
      <c r="L358" s="13">
        <f>SUM(F358:K358)</f>
        <v>136402.74000000002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>
        <f>SUM(292890.7+6274.96+542.64-27233.9)/2</f>
        <v>136237.20000000001</v>
      </c>
      <c r="I359" s="18"/>
      <c r="J359" s="18"/>
      <c r="K359" s="18">
        <f>331.08/2</f>
        <v>165.54</v>
      </c>
      <c r="L359" s="19">
        <f>SUM(F359:K359)</f>
        <v>136402.74000000002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272474.40000000002</v>
      </c>
      <c r="I362" s="47">
        <f t="shared" si="22"/>
        <v>0</v>
      </c>
      <c r="J362" s="47">
        <f t="shared" si="22"/>
        <v>0</v>
      </c>
      <c r="K362" s="47">
        <f t="shared" si="22"/>
        <v>331.08</v>
      </c>
      <c r="L362" s="47">
        <f t="shared" si="22"/>
        <v>272805.48000000004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200000</v>
      </c>
      <c r="H389" s="18">
        <f>6454.39+2828.65+4300.57</f>
        <v>13583.61</v>
      </c>
      <c r="I389" s="18"/>
      <c r="J389" s="24" t="s">
        <v>286</v>
      </c>
      <c r="K389" s="24" t="s">
        <v>286</v>
      </c>
      <c r="L389" s="56">
        <f t="shared" si="25"/>
        <v>213583.61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>
        <v>50000</v>
      </c>
      <c r="H392" s="18">
        <v>435.52</v>
      </c>
      <c r="I392" s="18"/>
      <c r="J392" s="24" t="s">
        <v>286</v>
      </c>
      <c r="K392" s="24" t="s">
        <v>286</v>
      </c>
      <c r="L392" s="56">
        <f t="shared" si="25"/>
        <v>50435.519999999997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250000</v>
      </c>
      <c r="H393" s="139">
        <f>SUM(H387:H392)</f>
        <v>14019.130000000001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264019.13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250000</v>
      </c>
      <c r="H408" s="47">
        <f>H393+H401+H407</f>
        <v>14019.130000000001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264019.13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>
        <v>450582.37</v>
      </c>
      <c r="I414" s="18"/>
      <c r="J414" s="18"/>
      <c r="K414" s="18"/>
      <c r="L414" s="56">
        <f t="shared" si="27"/>
        <v>450582.37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450582.37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450582.37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450582.37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450582.37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1212484</v>
      </c>
      <c r="G439" s="18"/>
      <c r="H439" s="18"/>
      <c r="I439" s="56">
        <f t="shared" ref="I439:I445" si="33">SUM(F439:H439)</f>
        <v>1212484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1212484</v>
      </c>
      <c r="G446" s="13">
        <f>SUM(G439:G445)</f>
        <v>0</v>
      </c>
      <c r="H446" s="13">
        <f>SUM(H439:H445)</f>
        <v>0</v>
      </c>
      <c r="I446" s="13">
        <f>SUM(I439:I445)</f>
        <v>1212484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>
        <v>1212484</v>
      </c>
      <c r="G454" s="18"/>
      <c r="H454" s="18"/>
      <c r="I454" s="56">
        <f t="shared" ref="I454:I459" si="34">SUM(F454:H454)</f>
        <v>1212484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1212484</v>
      </c>
      <c r="G460" s="83">
        <f>SUM(G454:G459)</f>
        <v>0</v>
      </c>
      <c r="H460" s="83">
        <f>SUM(H454:H459)</f>
        <v>0</v>
      </c>
      <c r="I460" s="83">
        <f>SUM(I454:I459)</f>
        <v>1212484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1212484</v>
      </c>
      <c r="G461" s="42">
        <f>G452+G460</f>
        <v>0</v>
      </c>
      <c r="H461" s="42">
        <f>H452+H460</f>
        <v>0</v>
      </c>
      <c r="I461" s="42">
        <f>I452+I460</f>
        <v>1212484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1552875.85</v>
      </c>
      <c r="G465" s="18">
        <v>3891.04</v>
      </c>
      <c r="H465" s="18">
        <v>541139.81000000006</v>
      </c>
      <c r="I465" s="18"/>
      <c r="J465" s="18">
        <v>1399047.24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21992353.469999999</v>
      </c>
      <c r="G468" s="18">
        <v>272805.48</v>
      </c>
      <c r="H468" s="18">
        <v>412420.87</v>
      </c>
      <c r="I468" s="18"/>
      <c r="J468" s="18">
        <f>250000+14019.13</f>
        <v>264019.13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v>10100</v>
      </c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22002453.469999999</v>
      </c>
      <c r="G470" s="53">
        <f>SUM(G468:G469)</f>
        <v>272805.48</v>
      </c>
      <c r="H470" s="53">
        <f>SUM(H468:H469)</f>
        <v>412420.87</v>
      </c>
      <c r="I470" s="53">
        <f>SUM(I468:I469)</f>
        <v>0</v>
      </c>
      <c r="J470" s="53">
        <f>SUM(J468:J469)</f>
        <v>264019.13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22399243.280000001</v>
      </c>
      <c r="G472" s="18">
        <v>272805.48</v>
      </c>
      <c r="H472" s="18">
        <v>412420.87</v>
      </c>
      <c r="I472" s="18"/>
      <c r="J472" s="18">
        <v>450582.37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22399243.280000001</v>
      </c>
      <c r="G474" s="53">
        <f>SUM(G472:G473)</f>
        <v>272805.48</v>
      </c>
      <c r="H474" s="53">
        <f>SUM(H472:H473)</f>
        <v>412420.87</v>
      </c>
      <c r="I474" s="53">
        <f>SUM(I472:I473)</f>
        <v>0</v>
      </c>
      <c r="J474" s="53">
        <f>SUM(J472:J473)</f>
        <v>450582.37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1156086.0399999991</v>
      </c>
      <c r="G476" s="53">
        <f>(G465+G470)- G474</f>
        <v>3891.039999999979</v>
      </c>
      <c r="H476" s="53">
        <f>(H465+H470)- H474</f>
        <v>541139.81000000006</v>
      </c>
      <c r="I476" s="53">
        <f>(I465+I470)- I474</f>
        <v>0</v>
      </c>
      <c r="J476" s="53">
        <f>(J465+J470)- J474</f>
        <v>1212484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912</v>
      </c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913</v>
      </c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14144129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3.7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3550000</v>
      </c>
      <c r="G495" s="18"/>
      <c r="H495" s="18"/>
      <c r="I495" s="18"/>
      <c r="J495" s="18"/>
      <c r="K495" s="53">
        <f>SUM(F495:J495)</f>
        <v>3550000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710000</v>
      </c>
      <c r="G496" s="18"/>
      <c r="H496" s="18"/>
      <c r="I496" s="18"/>
      <c r="J496" s="18"/>
      <c r="K496" s="53">
        <f t="shared" ref="K496:K503" si="35">SUM(F496:J496)</f>
        <v>710000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2840000</v>
      </c>
      <c r="G498" s="204"/>
      <c r="H498" s="204"/>
      <c r="I498" s="204"/>
      <c r="J498" s="204"/>
      <c r="K498" s="205">
        <f t="shared" si="35"/>
        <v>2840000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424935</v>
      </c>
      <c r="G499" s="18"/>
      <c r="H499" s="18"/>
      <c r="I499" s="18"/>
      <c r="J499" s="18"/>
      <c r="K499" s="53">
        <f t="shared" si="35"/>
        <v>424935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3264935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3264935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710000</v>
      </c>
      <c r="G501" s="204"/>
      <c r="H501" s="204"/>
      <c r="I501" s="204"/>
      <c r="J501" s="204"/>
      <c r="K501" s="205">
        <f t="shared" si="35"/>
        <v>710000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151408</v>
      </c>
      <c r="G502" s="18"/>
      <c r="H502" s="18"/>
      <c r="I502" s="18"/>
      <c r="J502" s="18"/>
      <c r="K502" s="53">
        <f t="shared" si="35"/>
        <v>151408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861408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861408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f>655896.86+133189.12</f>
        <v>789085.98</v>
      </c>
      <c r="G521" s="18">
        <f>355949.32+46374.52</f>
        <v>402323.84</v>
      </c>
      <c r="H521" s="18">
        <f>109162.44+10081.75</f>
        <v>119244.19</v>
      </c>
      <c r="I521" s="18">
        <f>6181.36+594.15</f>
        <v>6775.5099999999993</v>
      </c>
      <c r="J521" s="18">
        <f>3949.93</f>
        <v>3949.93</v>
      </c>
      <c r="K521" s="18"/>
      <c r="L521" s="88">
        <f>SUM(F521:K521)</f>
        <v>1321379.45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f>677323.1+44500.04</f>
        <v>721823.14</v>
      </c>
      <c r="G522" s="18">
        <f>349834.08+15178.41</f>
        <v>365012.49</v>
      </c>
      <c r="H522" s="18">
        <v>154317.35</v>
      </c>
      <c r="I522" s="18">
        <v>5320.85</v>
      </c>
      <c r="J522" s="18">
        <v>6154.51</v>
      </c>
      <c r="K522" s="18"/>
      <c r="L522" s="88">
        <f>SUM(F522:K522)</f>
        <v>1252628.3400000001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4686.82</v>
      </c>
      <c r="G523" s="18"/>
      <c r="H523" s="18">
        <v>936638.29</v>
      </c>
      <c r="I523" s="18">
        <v>38.619999999999997</v>
      </c>
      <c r="J523" s="18"/>
      <c r="K523" s="18"/>
      <c r="L523" s="88">
        <f>SUM(F523:K523)</f>
        <v>941363.73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1515595.9400000002</v>
      </c>
      <c r="G524" s="108">
        <f t="shared" ref="G524:L524" si="36">SUM(G521:G523)</f>
        <v>767336.33000000007</v>
      </c>
      <c r="H524" s="108">
        <f t="shared" si="36"/>
        <v>1210199.83</v>
      </c>
      <c r="I524" s="108">
        <f t="shared" si="36"/>
        <v>12134.980000000001</v>
      </c>
      <c r="J524" s="108">
        <f t="shared" si="36"/>
        <v>10104.44</v>
      </c>
      <c r="K524" s="108">
        <f t="shared" si="36"/>
        <v>0</v>
      </c>
      <c r="L524" s="89">
        <f t="shared" si="36"/>
        <v>3515371.52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f>481235.56</f>
        <v>481235.56</v>
      </c>
      <c r="G526" s="18">
        <f>196395.94</f>
        <v>196395.94</v>
      </c>
      <c r="H526" s="18">
        <f>16149.6</f>
        <v>16149.6</v>
      </c>
      <c r="I526" s="18">
        <f>6362.03</f>
        <v>6362.03</v>
      </c>
      <c r="J526" s="18">
        <f>2712.38</f>
        <v>2712.38</v>
      </c>
      <c r="K526" s="18">
        <f>4448.85</f>
        <v>4448.8500000000004</v>
      </c>
      <c r="L526" s="88">
        <f>SUM(F526:K526)</f>
        <v>707304.36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413445.51</v>
      </c>
      <c r="G527" s="18">
        <v>253497.96</v>
      </c>
      <c r="H527" s="18">
        <v>15405.4</v>
      </c>
      <c r="I527" s="18">
        <v>3612.15</v>
      </c>
      <c r="J527" s="18">
        <v>2205.92</v>
      </c>
      <c r="K527" s="18">
        <v>4448.8500000000004</v>
      </c>
      <c r="L527" s="88">
        <f>SUM(F527:K527)</f>
        <v>692615.79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894681.07000000007</v>
      </c>
      <c r="G529" s="89">
        <f t="shared" ref="G529:L529" si="37">SUM(G526:G528)</f>
        <v>449893.9</v>
      </c>
      <c r="H529" s="89">
        <f t="shared" si="37"/>
        <v>31555</v>
      </c>
      <c r="I529" s="89">
        <f t="shared" si="37"/>
        <v>9974.18</v>
      </c>
      <c r="J529" s="89">
        <f t="shared" si="37"/>
        <v>4918.3</v>
      </c>
      <c r="K529" s="89">
        <f t="shared" si="37"/>
        <v>8897.7000000000007</v>
      </c>
      <c r="L529" s="89">
        <f t="shared" si="37"/>
        <v>1399920.15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f>141894.2</f>
        <v>141894.20000000001</v>
      </c>
      <c r="G531" s="18">
        <v>67833.33</v>
      </c>
      <c r="H531" s="18">
        <v>22925.5</v>
      </c>
      <c r="I531" s="18">
        <v>1320.77</v>
      </c>
      <c r="J531" s="18">
        <v>839.51</v>
      </c>
      <c r="K531" s="18">
        <v>3563.46</v>
      </c>
      <c r="L531" s="88">
        <f>SUM(F531:K531)</f>
        <v>238376.77000000002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141894.20000000001</v>
      </c>
      <c r="G532" s="18">
        <v>67833.320000000007</v>
      </c>
      <c r="H532" s="18">
        <v>22925.59</v>
      </c>
      <c r="I532" s="18">
        <v>1320.76</v>
      </c>
      <c r="J532" s="18">
        <v>839.51</v>
      </c>
      <c r="K532" s="18">
        <v>3563.46</v>
      </c>
      <c r="L532" s="88">
        <f>SUM(F532:K532)</f>
        <v>238376.84000000003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141894.19</v>
      </c>
      <c r="G533" s="18">
        <v>67833.320000000007</v>
      </c>
      <c r="H533" s="18">
        <v>22925.59</v>
      </c>
      <c r="I533" s="18">
        <v>1320.76</v>
      </c>
      <c r="J533" s="18">
        <v>839.5</v>
      </c>
      <c r="K533" s="18">
        <v>3563.46</v>
      </c>
      <c r="L533" s="88">
        <f>SUM(F533:K533)</f>
        <v>238376.82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425682.59</v>
      </c>
      <c r="G534" s="89">
        <f t="shared" ref="G534:L534" si="38">SUM(G531:G533)</f>
        <v>203499.97000000003</v>
      </c>
      <c r="H534" s="89">
        <f t="shared" si="38"/>
        <v>68776.679999999993</v>
      </c>
      <c r="I534" s="89">
        <f t="shared" si="38"/>
        <v>3962.29</v>
      </c>
      <c r="J534" s="89">
        <f t="shared" si="38"/>
        <v>2518.52</v>
      </c>
      <c r="K534" s="89">
        <f t="shared" si="38"/>
        <v>10690.380000000001</v>
      </c>
      <c r="L534" s="89">
        <f t="shared" si="38"/>
        <v>715130.43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 t="s">
        <v>284</v>
      </c>
      <c r="G541" s="18"/>
      <c r="H541" s="18">
        <f>85989.57+84954.9</f>
        <v>170944.47</v>
      </c>
      <c r="I541" s="18"/>
      <c r="J541" s="18"/>
      <c r="K541" s="18"/>
      <c r="L541" s="88">
        <f>SUM(F541:K541)</f>
        <v>170944.47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 t="s">
        <v>284</v>
      </c>
      <c r="G542" s="18"/>
      <c r="H542" s="18">
        <f>85989.7</f>
        <v>85989.7</v>
      </c>
      <c r="I542" s="18"/>
      <c r="J542" s="18"/>
      <c r="K542" s="18"/>
      <c r="L542" s="88">
        <f>SUM(F542:K542)</f>
        <v>85989.7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 t="s">
        <v>284</v>
      </c>
      <c r="G543" s="18"/>
      <c r="H543" s="18">
        <f>84954.9</f>
        <v>84954.9</v>
      </c>
      <c r="I543" s="18"/>
      <c r="J543" s="18"/>
      <c r="K543" s="18"/>
      <c r="L543" s="88">
        <f>SUM(F543:K543)</f>
        <v>84954.9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341889.06999999995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341889.06999999995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2835959.6</v>
      </c>
      <c r="G545" s="89">
        <f t="shared" ref="G545:L545" si="41">G524+G529+G534+G539+G544</f>
        <v>1420730.2</v>
      </c>
      <c r="H545" s="89">
        <f t="shared" si="41"/>
        <v>1652420.58</v>
      </c>
      <c r="I545" s="89">
        <f t="shared" si="41"/>
        <v>26071.450000000004</v>
      </c>
      <c r="J545" s="89">
        <f t="shared" si="41"/>
        <v>17541.260000000002</v>
      </c>
      <c r="K545" s="89">
        <f t="shared" si="41"/>
        <v>19588.080000000002</v>
      </c>
      <c r="L545" s="89">
        <f t="shared" si="41"/>
        <v>5972311.1699999999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1321379.45</v>
      </c>
      <c r="G549" s="87">
        <f>L526</f>
        <v>707304.36</v>
      </c>
      <c r="H549" s="87">
        <f>L531</f>
        <v>238376.77000000002</v>
      </c>
      <c r="I549" s="87">
        <f>L536</f>
        <v>0</v>
      </c>
      <c r="J549" s="87">
        <f>L541</f>
        <v>170944.47</v>
      </c>
      <c r="K549" s="87">
        <f>SUM(F549:J549)</f>
        <v>2438005.0500000003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1252628.3400000001</v>
      </c>
      <c r="G550" s="87">
        <f>L527</f>
        <v>692615.79</v>
      </c>
      <c r="H550" s="87">
        <f>L532</f>
        <v>238376.84000000003</v>
      </c>
      <c r="I550" s="87">
        <f>L537</f>
        <v>0</v>
      </c>
      <c r="J550" s="87">
        <f>L542</f>
        <v>85989.7</v>
      </c>
      <c r="K550" s="87">
        <f>SUM(F550:J550)</f>
        <v>2269610.6700000004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941363.73</v>
      </c>
      <c r="G551" s="87">
        <f>L528</f>
        <v>0</v>
      </c>
      <c r="H551" s="87">
        <f>L533</f>
        <v>238376.82</v>
      </c>
      <c r="I551" s="87">
        <f>L538</f>
        <v>0</v>
      </c>
      <c r="J551" s="87">
        <f>L543</f>
        <v>84954.9</v>
      </c>
      <c r="K551" s="87">
        <f>SUM(F551:J551)</f>
        <v>1264695.45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3515371.52</v>
      </c>
      <c r="G552" s="89">
        <f t="shared" si="42"/>
        <v>1399920.15</v>
      </c>
      <c r="H552" s="89">
        <f t="shared" si="42"/>
        <v>715130.43</v>
      </c>
      <c r="I552" s="89">
        <f t="shared" si="42"/>
        <v>0</v>
      </c>
      <c r="J552" s="89">
        <f t="shared" si="42"/>
        <v>341889.06999999995</v>
      </c>
      <c r="K552" s="89">
        <f t="shared" si="42"/>
        <v>5972311.1700000009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f>2454740.71-39392.73+2134762.63</f>
        <v>4550110.6099999994</v>
      </c>
      <c r="I575" s="87">
        <f>SUM(F575:H575)</f>
        <v>4550110.6099999994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>
        <v>1420256.71</v>
      </c>
      <c r="I577" s="87">
        <f t="shared" si="47"/>
        <v>1420256.71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>
        <f>284363.44</f>
        <v>284363.44</v>
      </c>
      <c r="I579" s="87">
        <f t="shared" si="47"/>
        <v>284363.44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>
        <v>73289.08</v>
      </c>
      <c r="I581" s="87">
        <f t="shared" si="47"/>
        <v>73289.08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56957.52</v>
      </c>
      <c r="G582" s="18">
        <v>117122.42</v>
      </c>
      <c r="H582" s="18">
        <v>578985.77</v>
      </c>
      <c r="I582" s="87">
        <f t="shared" si="47"/>
        <v>753065.71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235040.22</v>
      </c>
      <c r="I591" s="18">
        <v>238478.9</v>
      </c>
      <c r="J591" s="18">
        <v>236143.6</v>
      </c>
      <c r="K591" s="104">
        <f t="shared" ref="K591:K597" si="48">SUM(H591:J591)</f>
        <v>709662.71999999997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170944.47</v>
      </c>
      <c r="I592" s="18">
        <v>85989.7</v>
      </c>
      <c r="J592" s="18">
        <v>84954.9</v>
      </c>
      <c r="K592" s="104">
        <f t="shared" si="48"/>
        <v>341889.06999999995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>
        <v>5702.81</v>
      </c>
      <c r="J594" s="18"/>
      <c r="K594" s="104">
        <f t="shared" si="48"/>
        <v>5702.81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3649.62</v>
      </c>
      <c r="I595" s="18">
        <v>5262.8</v>
      </c>
      <c r="J595" s="18"/>
      <c r="K595" s="104">
        <f t="shared" si="48"/>
        <v>8912.42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1000</v>
      </c>
      <c r="I596" s="18">
        <v>1000</v>
      </c>
      <c r="J596" s="18"/>
      <c r="K596" s="104">
        <f t="shared" si="48"/>
        <v>2000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 t="s">
        <v>284</v>
      </c>
      <c r="I597" s="18" t="s">
        <v>284</v>
      </c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410634.31</v>
      </c>
      <c r="I598" s="108">
        <f>SUM(I591:I597)</f>
        <v>336434.20999999996</v>
      </c>
      <c r="J598" s="108">
        <f>SUM(J591:J597)</f>
        <v>321098.5</v>
      </c>
      <c r="K598" s="108">
        <f>SUM(K591:K597)</f>
        <v>1068167.02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111513.44</v>
      </c>
      <c r="I604" s="18">
        <v>88199.18</v>
      </c>
      <c r="J604" s="18">
        <v>839.51</v>
      </c>
      <c r="K604" s="104">
        <f>SUM(H604:J604)</f>
        <v>200552.13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111513.44</v>
      </c>
      <c r="I605" s="108">
        <f>SUM(I602:I604)</f>
        <v>88199.18</v>
      </c>
      <c r="J605" s="108">
        <f>SUM(J602:J604)</f>
        <v>839.51</v>
      </c>
      <c r="K605" s="108">
        <f>SUM(K602:K604)</f>
        <v>200552.13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1613433.35</v>
      </c>
      <c r="H617" s="109">
        <f>SUM(F52)</f>
        <v>1613433.35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33893.040000000001</v>
      </c>
      <c r="H618" s="109">
        <f>SUM(G52)</f>
        <v>33893.040000000001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541139.81000000006</v>
      </c>
      <c r="H619" s="109">
        <f>SUM(H52)</f>
        <v>541139.81000000006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1212484</v>
      </c>
      <c r="H621" s="109">
        <f>SUM(J52)</f>
        <v>1212484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1156086.04</v>
      </c>
      <c r="H622" s="109">
        <f>F476</f>
        <v>1156086.0399999991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3891.04</v>
      </c>
      <c r="H623" s="109">
        <f>G476</f>
        <v>3891.039999999979</v>
      </c>
      <c r="I623" s="121" t="s">
        <v>102</v>
      </c>
      <c r="J623" s="109">
        <f t="shared" si="50"/>
        <v>2.0918378140777349E-11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541139.81000000006</v>
      </c>
      <c r="H624" s="109">
        <f>H476</f>
        <v>541139.81000000006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1212484</v>
      </c>
      <c r="H626" s="109">
        <f>J476</f>
        <v>1212484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21992353.469999999</v>
      </c>
      <c r="H627" s="104">
        <f>SUM(F468)</f>
        <v>21992353.469999999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272805.48</v>
      </c>
      <c r="H628" s="104">
        <f>SUM(G468)</f>
        <v>272805.48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412420.88</v>
      </c>
      <c r="H629" s="104">
        <f>SUM(H468)</f>
        <v>412420.87</v>
      </c>
      <c r="I629" s="140" t="s">
        <v>108</v>
      </c>
      <c r="J629" s="109">
        <f>G629-H629</f>
        <v>1.0000000009313226E-2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264019.13</v>
      </c>
      <c r="H631" s="104">
        <f>SUM(J468)</f>
        <v>264019.13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22399243.274999999</v>
      </c>
      <c r="H632" s="104">
        <f>SUM(F472)</f>
        <v>22399243.280000001</v>
      </c>
      <c r="I632" s="140" t="s">
        <v>111</v>
      </c>
      <c r="J632" s="109">
        <f t="shared" si="50"/>
        <v>-5.0000026822090149E-3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412420.87000000005</v>
      </c>
      <c r="H633" s="104">
        <f>SUM(H472)</f>
        <v>412420.87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272805.48000000004</v>
      </c>
      <c r="H635" s="104">
        <f>SUM(G472)</f>
        <v>272805.48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264019.13</v>
      </c>
      <c r="H637" s="164">
        <f>SUM(J468)</f>
        <v>264019.13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450582.37</v>
      </c>
      <c r="H638" s="164">
        <f>SUM(J472)</f>
        <v>450582.37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1212484</v>
      </c>
      <c r="H639" s="104">
        <f>SUM(F461)</f>
        <v>1212484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1212484</v>
      </c>
      <c r="H642" s="104">
        <f>SUM(I461)</f>
        <v>1212484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14019.13</v>
      </c>
      <c r="H644" s="104">
        <f>H408</f>
        <v>14019.130000000001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250000</v>
      </c>
      <c r="H645" s="104">
        <f>G408</f>
        <v>250000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264019.13</v>
      </c>
      <c r="H646" s="104">
        <f>L408</f>
        <v>264019.13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1068167.02</v>
      </c>
      <c r="H647" s="104">
        <f>L208+L226+L244</f>
        <v>1068167.02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200552.13</v>
      </c>
      <c r="H648" s="104">
        <f>(J257+J338)-(J255+J336)</f>
        <v>200552.13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410634.31000000006</v>
      </c>
      <c r="H649" s="104">
        <f>H598</f>
        <v>410634.31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336434.20999999996</v>
      </c>
      <c r="H650" s="104">
        <f>I598</f>
        <v>336434.20999999996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321098.5</v>
      </c>
      <c r="H651" s="104">
        <f>J598</f>
        <v>321098.5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20438.669999999998</v>
      </c>
      <c r="H652" s="104">
        <f>K263+K345</f>
        <v>20438.669999999998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250000</v>
      </c>
      <c r="H655" s="104">
        <f>K266+K347</f>
        <v>250000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4.999995231628418E-3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7653957.2449999992</v>
      </c>
      <c r="G660" s="19">
        <f>(L229+L309+L359)</f>
        <v>6639517.3900000025</v>
      </c>
      <c r="H660" s="19">
        <f>(L247+L328+L360)</f>
        <v>7540385.8299999991</v>
      </c>
      <c r="I660" s="19">
        <f>SUM(F660:H660)</f>
        <v>21833860.465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87968.2</v>
      </c>
      <c r="G661" s="19">
        <f>(L359/IF(SUM(L358:L360)=0,1,SUM(L358:L360))*(SUM(G97:G110)))</f>
        <v>87968.2</v>
      </c>
      <c r="H661" s="19">
        <f>(L360/IF(SUM(L358:L360)=0,1,SUM(L358:L360))*(SUM(G97:G110)))</f>
        <v>0</v>
      </c>
      <c r="I661" s="19">
        <f>SUM(F661:H661)</f>
        <v>175936.4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409634.31000000006</v>
      </c>
      <c r="G662" s="19">
        <f>(L226+L306)-(J226+J306)</f>
        <v>335434.20999999996</v>
      </c>
      <c r="H662" s="19">
        <f>(L244+L325)-(J244+J325)</f>
        <v>321098.5</v>
      </c>
      <c r="I662" s="19">
        <f>SUM(F662:H662)</f>
        <v>1066167.02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168470.96</v>
      </c>
      <c r="G663" s="199">
        <f>SUM(G575:G587)+SUM(I602:I604)+L612</f>
        <v>205321.59999999998</v>
      </c>
      <c r="H663" s="199">
        <f>SUM(H575:H587)+SUM(J602:J604)+L613</f>
        <v>6907845.1199999992</v>
      </c>
      <c r="I663" s="19">
        <f>SUM(F663:H663)</f>
        <v>7281637.6799999988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6987883.7749999994</v>
      </c>
      <c r="G664" s="19">
        <f>G660-SUM(G661:G663)</f>
        <v>6010793.3800000027</v>
      </c>
      <c r="H664" s="19">
        <f>H660-SUM(H661:H663)</f>
        <v>311442.20999999996</v>
      </c>
      <c r="I664" s="19">
        <f>I660-SUM(I661:I663)</f>
        <v>13310119.365000002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513.45000000000005</v>
      </c>
      <c r="G665" s="248">
        <v>407.38</v>
      </c>
      <c r="H665" s="248"/>
      <c r="I665" s="19">
        <f>SUM(F665:H665)</f>
        <v>920.83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13609.67</v>
      </c>
      <c r="G667" s="19">
        <f>ROUND(G664/G665,2)</f>
        <v>14754.76</v>
      </c>
      <c r="H667" s="19" t="e">
        <f>ROUND(H664/H665,2)</f>
        <v>#DIV/0!</v>
      </c>
      <c r="I667" s="19">
        <f>ROUND(I664/I665,2)</f>
        <v>14454.48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-311442.21000000002</v>
      </c>
      <c r="I669" s="19">
        <f>SUM(F669:H669)</f>
        <v>-311442.21000000002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13609.67</v>
      </c>
      <c r="G672" s="19">
        <f>ROUND((G664+G669)/(G665+G670),2)</f>
        <v>14754.76</v>
      </c>
      <c r="H672" s="19" t="e">
        <f>ROUND((H664+H669)/(H665+H670),2)</f>
        <v>#DIV/0!</v>
      </c>
      <c r="I672" s="19">
        <f>ROUND((I664+I669)/(I665+I670),2)</f>
        <v>14116.26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75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  <extLst>
    <ext xmlns:mx="http://schemas.microsoft.com/office/mac/excel/2008/main" uri="{64002731-A6B0-56B0-2670-7721B7C09600}">
      <mx:PLV Mode="0" OnePage="0" WScale="9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zoomScale="200" zoomScaleNormal="200" zoomScalePageLayoutView="200" workbookViewId="0">
      <selection activeCell="C38" sqref="C38"/>
    </sheetView>
  </sheetViews>
  <sheetFormatPr defaultColWidth="9" defaultRowHeight="11.25" x14ac:dyDescent="0.2"/>
  <cols>
    <col min="1" max="1" width="26.6640625" customWidth="1"/>
    <col min="2" max="2" width="33.83203125" customWidth="1"/>
    <col min="3" max="3" width="29.33203125" customWidth="1"/>
  </cols>
  <sheetData>
    <row r="1" spans="1:3" x14ac:dyDescent="0.2">
      <c r="A1" s="233" t="s">
        <v>779</v>
      </c>
      <c r="B1" s="232" t="str">
        <f>'DOE25'!A2</f>
        <v>Barrington School District - SAU #74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3620671.9899999998</v>
      </c>
      <c r="C9" s="229">
        <f>'DOE25'!G197+'DOE25'!G215+'DOE25'!G233+'DOE25'!G276+'DOE25'!G295+'DOE25'!G314</f>
        <v>1841252.26</v>
      </c>
    </row>
    <row r="10" spans="1:3" x14ac:dyDescent="0.2">
      <c r="A10" t="s">
        <v>773</v>
      </c>
      <c r="B10" s="240">
        <f>3200+124332.12+1369855.15+282541.42+1468618.31</f>
        <v>3248547</v>
      </c>
      <c r="C10" s="240">
        <f>13082.68+444691.18+103132.22+349250.84+767.04+12223.1+1842.28+10682.39+72+880.65+450+11828.24+106828.03+113921.39+237849.73+255099.57+67666.25+50840.22</f>
        <v>1781107.8099999998</v>
      </c>
    </row>
    <row r="11" spans="1:3" x14ac:dyDescent="0.2">
      <c r="A11" t="s">
        <v>774</v>
      </c>
      <c r="B11" s="240">
        <f>165111.61+94331.88</f>
        <v>259443.49</v>
      </c>
      <c r="C11" s="240">
        <f>1033.65+316.16+3146.43+1053.32+3617.58+34655.73</f>
        <v>43822.87</v>
      </c>
    </row>
    <row r="12" spans="1:3" x14ac:dyDescent="0.2">
      <c r="A12" t="s">
        <v>775</v>
      </c>
      <c r="B12" s="240">
        <f>11360+48389+18163+34769.5</f>
        <v>112681.5</v>
      </c>
      <c r="C12" s="240">
        <f>2697.58+6812+6812</f>
        <v>16321.58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3620671.99</v>
      </c>
      <c r="C13" s="231">
        <f>SUM(C10:C12)</f>
        <v>1841252.26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1515695.94</v>
      </c>
      <c r="C18" s="229">
        <f>'DOE25'!G198+'DOE25'!G216+'DOE25'!G234+'DOE25'!G277+'DOE25'!G296+'DOE25'!G315</f>
        <v>767336.33</v>
      </c>
    </row>
    <row r="19" spans="1:3" x14ac:dyDescent="0.2">
      <c r="A19" t="s">
        <v>773</v>
      </c>
      <c r="B19" s="240">
        <f>225306.98+38000.04+264840.85+189739.32</f>
        <v>717887.19</v>
      </c>
      <c r="C19" s="240">
        <f>181590.8+34268.52+61552.93</f>
        <v>277412.25</v>
      </c>
    </row>
    <row r="20" spans="1:3" x14ac:dyDescent="0.2">
      <c r="A20" t="s">
        <v>774</v>
      </c>
      <c r="B20" s="240">
        <f>290671.07+58467.61+387169.76+4686.82</f>
        <v>740995.25999999989</v>
      </c>
      <c r="C20" s="240">
        <f>4898.7+4709.02+672+120+804+1306.29+223.8+1639.49+2164.88+37874.76+8745.47+48285.94+74244.94+12004.04+90042.39+198573.37</f>
        <v>486309.09</v>
      </c>
    </row>
    <row r="21" spans="1:3" x14ac:dyDescent="0.2">
      <c r="A21" t="s">
        <v>775</v>
      </c>
      <c r="B21" s="240">
        <f>26823.5+636+788.25+236+3077.24+6465+10200+8587.5</f>
        <v>56813.49</v>
      </c>
      <c r="C21" s="240">
        <f>3614.99</f>
        <v>3614.99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1515695.9399999997</v>
      </c>
      <c r="C22" s="231">
        <f>SUM(C19:C21)</f>
        <v>767336.33000000007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43200</v>
      </c>
      <c r="C36" s="235">
        <f>'DOE25'!G200+'DOE25'!G218+'DOE25'!G236+'DOE25'!G279+'DOE25'!G298+'DOE25'!G317</f>
        <v>9790.23</v>
      </c>
    </row>
    <row r="37" spans="1:3" x14ac:dyDescent="0.2">
      <c r="A37" t="s">
        <v>773</v>
      </c>
      <c r="B37" s="240">
        <v>40000</v>
      </c>
      <c r="C37" s="240">
        <v>9545.43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3200</v>
      </c>
      <c r="C39" s="240">
        <v>244.8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43200</v>
      </c>
      <c r="C40" s="231">
        <f>SUM(C37:C39)</f>
        <v>9790.23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/>
  <headerFooter alignWithMargins="0">
    <oddHeader>&amp;C&amp;A
FY2017-2018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zoomScaleNormal="100" zoomScalePageLayoutView="200" workbookViewId="0">
      <pane ySplit="4" topLeftCell="A5" activePane="bottomLeft" state="frozen"/>
      <selection activeCell="F46" sqref="F46"/>
      <selection pane="bottomLeft" activeCell="B15" sqref="B15"/>
    </sheetView>
  </sheetViews>
  <sheetFormatPr defaultColWidth="9" defaultRowHeight="11.25" x14ac:dyDescent="0.2"/>
  <cols>
    <col min="1" max="1" width="10.83203125" customWidth="1"/>
    <col min="2" max="2" width="41.1640625" customWidth="1"/>
    <col min="3" max="3" width="13.33203125" bestFit="1" customWidth="1"/>
    <col min="4" max="5" width="17.83203125" customWidth="1"/>
    <col min="6" max="6" width="22.3320312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Barrington School District - SAU #74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14826051.799999999</v>
      </c>
      <c r="D5" s="20">
        <f>SUM('DOE25'!L197:L200)+SUM('DOE25'!L215:L218)+SUM('DOE25'!L233:L236)-F5-G5</f>
        <v>14811282.339999998</v>
      </c>
      <c r="E5" s="243"/>
      <c r="F5" s="255">
        <f>SUM('DOE25'!J197:J200)+SUM('DOE25'!J215:J218)+SUM('DOE25'!J233:J236)</f>
        <v>11370.460000000001</v>
      </c>
      <c r="G5" s="53">
        <f>SUM('DOE25'!K197:K200)+SUM('DOE25'!K215:K218)+SUM('DOE25'!K233:K236)</f>
        <v>3399</v>
      </c>
      <c r="H5" s="259"/>
    </row>
    <row r="6" spans="1:9" x14ac:dyDescent="0.2">
      <c r="A6" s="32">
        <v>2100</v>
      </c>
      <c r="B6" t="s">
        <v>795</v>
      </c>
      <c r="C6" s="245">
        <f t="shared" si="0"/>
        <v>1399920.1800000002</v>
      </c>
      <c r="D6" s="20">
        <f>'DOE25'!L202+'DOE25'!L220+'DOE25'!L238-F6-G6</f>
        <v>1386104.1800000002</v>
      </c>
      <c r="E6" s="243"/>
      <c r="F6" s="255">
        <f>'DOE25'!J202+'DOE25'!J220+'DOE25'!J238</f>
        <v>4918.3</v>
      </c>
      <c r="G6" s="53">
        <f>'DOE25'!K202+'DOE25'!K220+'DOE25'!K238</f>
        <v>8897.7000000000007</v>
      </c>
      <c r="H6" s="259"/>
    </row>
    <row r="7" spans="1:9" x14ac:dyDescent="0.2">
      <c r="A7" s="32">
        <v>2200</v>
      </c>
      <c r="B7" t="s">
        <v>828</v>
      </c>
      <c r="C7" s="245">
        <f t="shared" si="0"/>
        <v>861344.61499999999</v>
      </c>
      <c r="D7" s="20">
        <f>'DOE25'!L203+'DOE25'!L221+'DOE25'!L239-F7-G7</f>
        <v>682653.64</v>
      </c>
      <c r="E7" s="243"/>
      <c r="F7" s="255">
        <f>'DOE25'!J203+'DOE25'!J221+'DOE25'!J239</f>
        <v>137688.72999999998</v>
      </c>
      <c r="G7" s="53">
        <f>'DOE25'!K203+'DOE25'!K221+'DOE25'!K239</f>
        <v>41002.244999999995</v>
      </c>
      <c r="H7" s="259"/>
    </row>
    <row r="8" spans="1:9" x14ac:dyDescent="0.2">
      <c r="A8" s="32">
        <v>2300</v>
      </c>
      <c r="B8" t="s">
        <v>796</v>
      </c>
      <c r="C8" s="245">
        <f t="shared" si="0"/>
        <v>408527.08999999997</v>
      </c>
      <c r="D8" s="243"/>
      <c r="E8" s="20">
        <f>'DOE25'!L204+'DOE25'!L222+'DOE25'!L240-F8-G8-D9-D11</f>
        <v>395318.18999999994</v>
      </c>
      <c r="F8" s="255">
        <f>'DOE25'!J204+'DOE25'!J222+'DOE25'!J240</f>
        <v>2518.52</v>
      </c>
      <c r="G8" s="53">
        <f>'DOE25'!K204+'DOE25'!K222+'DOE25'!K240</f>
        <v>10690.380000000001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60819.44</v>
      </c>
      <c r="D9" s="244">
        <v>60819.44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13900</v>
      </c>
      <c r="D10" s="243"/>
      <c r="E10" s="244">
        <v>13900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245784</v>
      </c>
      <c r="D11" s="244">
        <v>245784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771454.11999999988</v>
      </c>
      <c r="D12" s="20">
        <f>'DOE25'!L205+'DOE25'!L223+'DOE25'!L241-F12-G12</f>
        <v>744732.45999999985</v>
      </c>
      <c r="E12" s="243"/>
      <c r="F12" s="255">
        <f>'DOE25'!J205+'DOE25'!J223+'DOE25'!J241</f>
        <v>24579.78</v>
      </c>
      <c r="G12" s="53">
        <f>'DOE25'!K205+'DOE25'!K223+'DOE25'!K241</f>
        <v>2141.88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207538.33000000002</v>
      </c>
      <c r="D13" s="243"/>
      <c r="E13" s="20">
        <f>'DOE25'!L206+'DOE25'!L224+'DOE25'!L242-F13-G13</f>
        <v>207538.33000000002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1299027.52</v>
      </c>
      <c r="D14" s="20">
        <f>'DOE25'!L207+'DOE25'!L225+'DOE25'!L243-F14-G14</f>
        <v>1281551.18</v>
      </c>
      <c r="E14" s="243"/>
      <c r="F14" s="255">
        <f>'DOE25'!J207+'DOE25'!J225+'DOE25'!J243</f>
        <v>17476.34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1068167.02</v>
      </c>
      <c r="D15" s="20">
        <f>'DOE25'!L208+'DOE25'!L226+'DOE25'!L244-F15-G15</f>
        <v>1066167.02</v>
      </c>
      <c r="E15" s="243"/>
      <c r="F15" s="255">
        <f>'DOE25'!J208+'DOE25'!J226+'DOE25'!J244</f>
        <v>2000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86635.49</v>
      </c>
      <c r="D22" s="243"/>
      <c r="E22" s="243"/>
      <c r="F22" s="255">
        <f>'DOE25'!L255+'DOE25'!L336</f>
        <v>86635.49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893535</v>
      </c>
      <c r="D25" s="243"/>
      <c r="E25" s="243"/>
      <c r="F25" s="258"/>
      <c r="G25" s="256"/>
      <c r="H25" s="257">
        <f>'DOE25'!L260+'DOE25'!L261+'DOE25'!L341+'DOE25'!L342</f>
        <v>893535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272805.48000000004</v>
      </c>
      <c r="D29" s="20">
        <f>'DOE25'!L358+'DOE25'!L359+'DOE25'!L360-'DOE25'!I367-F29-G29</f>
        <v>272474.40000000002</v>
      </c>
      <c r="E29" s="243"/>
      <c r="F29" s="255">
        <f>'DOE25'!J358+'DOE25'!J359+'DOE25'!J360</f>
        <v>0</v>
      </c>
      <c r="G29" s="53">
        <f>'DOE25'!K358+'DOE25'!K359+'DOE25'!K360</f>
        <v>331.08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412420.87000000005</v>
      </c>
      <c r="D31" s="20">
        <f>'DOE25'!L290+'DOE25'!L309+'DOE25'!L328+'DOE25'!L333+'DOE25'!L334+'DOE25'!L335-F31-G31</f>
        <v>412420.87000000005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20963989.529999997</v>
      </c>
      <c r="E33" s="246">
        <f>SUM(E5:E31)</f>
        <v>616756.52</v>
      </c>
      <c r="F33" s="246">
        <f>SUM(F5:F31)</f>
        <v>287187.62</v>
      </c>
      <c r="G33" s="246">
        <f>SUM(G5:G31)</f>
        <v>66462.285000000003</v>
      </c>
      <c r="H33" s="246">
        <f>SUM(H5:H31)</f>
        <v>893535</v>
      </c>
    </row>
    <row r="35" spans="2:8" ht="12" thickBot="1" x14ac:dyDescent="0.25">
      <c r="B35" s="253" t="s">
        <v>841</v>
      </c>
      <c r="D35" s="254">
        <f>E33</f>
        <v>616756.52</v>
      </c>
      <c r="E35" s="249"/>
    </row>
    <row r="36" spans="2:8" ht="12" thickTop="1" x14ac:dyDescent="0.2">
      <c r="B36" t="s">
        <v>809</v>
      </c>
      <c r="D36" s="20">
        <f>D33</f>
        <v>20963989.529999997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scale="85" orientation="landscape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zoomScalePageLayoutView="80" workbookViewId="0">
      <pane ySplit="2" topLeftCell="A109" activePane="bottomLeft" state="frozen"/>
      <selection activeCell="F46" sqref="F46"/>
      <selection pane="bottomLeft" activeCell="I46" sqref="I46"/>
    </sheetView>
  </sheetViews>
  <sheetFormatPr defaultColWidth="9" defaultRowHeight="11.25" x14ac:dyDescent="0.2"/>
  <cols>
    <col min="1" max="1" width="52.83203125" customWidth="1"/>
    <col min="2" max="2" width="16.6640625" customWidth="1"/>
    <col min="3" max="3" width="19" customWidth="1"/>
    <col min="4" max="4" width="19.3320312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Barrington School District - SAU #74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1351797.93</v>
      </c>
      <c r="D8" s="95">
        <f>'DOE25'!G9</f>
        <v>0</v>
      </c>
      <c r="E8" s="95">
        <f>'DOE25'!H9</f>
        <v>541139.81000000006</v>
      </c>
      <c r="F8" s="95">
        <f>'DOE25'!I9</f>
        <v>0</v>
      </c>
      <c r="G8" s="95">
        <f>'DOE25'!J9</f>
        <v>1212484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6964.31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6169.14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39392.730000000003</v>
      </c>
      <c r="D12" s="95">
        <f>'DOE25'!G13</f>
        <v>27723.9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215278.38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1613433.35</v>
      </c>
      <c r="D18" s="41">
        <f>SUM(D8:D17)</f>
        <v>33893.040000000001</v>
      </c>
      <c r="E18" s="41">
        <f>SUM(E8:E17)</f>
        <v>541139.81000000006</v>
      </c>
      <c r="F18" s="41">
        <f>SUM(F8:F17)</f>
        <v>0</v>
      </c>
      <c r="G18" s="41">
        <f>SUM(G8:G17)</f>
        <v>1212484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107639.19</v>
      </c>
      <c r="D21" s="95">
        <f>'DOE25'!G22</f>
        <v>20986.79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56485.38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293222.74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9015.2099999999991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457347.31</v>
      </c>
      <c r="D31" s="41">
        <f>SUM(D21:D30)</f>
        <v>30002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3891.04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425959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 t="str">
        <f>'DOE25'!F48</f>
        <v xml:space="preserve"> </v>
      </c>
      <c r="D47" s="95">
        <f>'DOE25'!G48</f>
        <v>0</v>
      </c>
      <c r="E47" s="95">
        <f>'DOE25'!H48</f>
        <v>541139.81000000006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1212484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580127.04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1156086.04</v>
      </c>
      <c r="D50" s="41">
        <f>SUM(D34:D49)</f>
        <v>3891.04</v>
      </c>
      <c r="E50" s="41">
        <f>SUM(E34:E49)</f>
        <v>541139.81000000006</v>
      </c>
      <c r="F50" s="41">
        <f>SUM(F34:F49)</f>
        <v>0</v>
      </c>
      <c r="G50" s="41">
        <f>SUM(G34:G49)</f>
        <v>1212484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1613433.35</v>
      </c>
      <c r="D51" s="41">
        <f>D50+D31</f>
        <v>33893.040000000001</v>
      </c>
      <c r="E51" s="41">
        <f>E50+E31</f>
        <v>541139.81000000006</v>
      </c>
      <c r="F51" s="41">
        <f>F50+F31</f>
        <v>0</v>
      </c>
      <c r="G51" s="41">
        <f>G50+G31</f>
        <v>1212484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14997557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77277.899999999994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14019.13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175936.4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47328.38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124606.28</v>
      </c>
      <c r="D62" s="130">
        <f>SUM(D57:D61)</f>
        <v>175936.4</v>
      </c>
      <c r="E62" s="130">
        <f>SUM(E57:E61)</f>
        <v>0</v>
      </c>
      <c r="F62" s="130">
        <f>SUM(F57:F61)</f>
        <v>0</v>
      </c>
      <c r="G62" s="130">
        <f>SUM(G57:G61)</f>
        <v>14019.13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15122163.279999999</v>
      </c>
      <c r="D63" s="22">
        <f>D56+D62</f>
        <v>175936.4</v>
      </c>
      <c r="E63" s="22">
        <f>E56+E62</f>
        <v>0</v>
      </c>
      <c r="F63" s="22">
        <f>F56+F62</f>
        <v>0</v>
      </c>
      <c r="G63" s="22">
        <f>G56+G62</f>
        <v>14019.13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4172852.04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2040814.54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27112.51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6240779.0899999999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231529.27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159060.07999999999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3808.05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390589.35</v>
      </c>
      <c r="D78" s="130">
        <f>SUM(D72:D77)</f>
        <v>3808.05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6631368.4399999995</v>
      </c>
      <c r="D81" s="130">
        <f>SUM(D79:D80)+D78+D70</f>
        <v>3808.05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238821.75</v>
      </c>
      <c r="D88" s="95">
        <f>SUM('DOE25'!G153:G161)</f>
        <v>72622.36</v>
      </c>
      <c r="E88" s="95">
        <f>SUM('DOE25'!H153:H161)</f>
        <v>412420.88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238821.75</v>
      </c>
      <c r="D91" s="131">
        <f>SUM(D85:D90)</f>
        <v>72622.36</v>
      </c>
      <c r="E91" s="131">
        <f>SUM(E85:E90)</f>
        <v>412420.88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20438.669999999998</v>
      </c>
      <c r="E96" s="95">
        <f>'DOE25'!H179</f>
        <v>0</v>
      </c>
      <c r="F96" s="95">
        <f>'DOE25'!I179</f>
        <v>0</v>
      </c>
      <c r="G96" s="95">
        <f>'DOE25'!J179</f>
        <v>250000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20438.669999999998</v>
      </c>
      <c r="E103" s="86">
        <f>SUM(E93:E102)</f>
        <v>0</v>
      </c>
      <c r="F103" s="86">
        <f>SUM(F93:F102)</f>
        <v>0</v>
      </c>
      <c r="G103" s="86">
        <f>SUM(G93:G102)</f>
        <v>250000</v>
      </c>
    </row>
    <row r="104" spans="1:7" ht="12.75" thickTop="1" thickBot="1" x14ac:dyDescent="0.25">
      <c r="A104" s="33" t="s">
        <v>759</v>
      </c>
      <c r="C104" s="86">
        <f>C63+C81+C91+C103</f>
        <v>21992353.469999999</v>
      </c>
      <c r="D104" s="86">
        <f>D63+D81+D91+D103</f>
        <v>272805.48</v>
      </c>
      <c r="E104" s="86">
        <f>E63+E81+E91+E103</f>
        <v>412420.88</v>
      </c>
      <c r="F104" s="86">
        <f>F63+F81+F91+F103</f>
        <v>0</v>
      </c>
      <c r="G104" s="86">
        <f>G63+G81+G103</f>
        <v>264019.13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11495665.35</v>
      </c>
      <c r="D109" s="24" t="s">
        <v>286</v>
      </c>
      <c r="E109" s="95">
        <f>('DOE25'!L276)+('DOE25'!L295)+('DOE25'!L314)</f>
        <v>162502.88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3265553.5300000003</v>
      </c>
      <c r="D110" s="24" t="s">
        <v>286</v>
      </c>
      <c r="E110" s="95">
        <f>('DOE25'!L277)+('DOE25'!L296)+('DOE25'!L315)</f>
        <v>249917.99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64832.92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14826051.799999999</v>
      </c>
      <c r="D115" s="86">
        <f>SUM(D109:D114)</f>
        <v>0</v>
      </c>
      <c r="E115" s="86">
        <f>SUM(E109:E114)</f>
        <v>412420.87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1399920.1800000002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861344.61499999999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715130.52999999991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771454.11999999988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207538.33000000002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1299027.52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1068167.02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272805.48000000004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6322582.3149999995</v>
      </c>
      <c r="D128" s="86">
        <f>SUM(D118:D127)</f>
        <v>272805.48000000004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86635.49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710000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183535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20438.669999999998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264019.13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-14019.130000000005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1250609.1600000001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22399243.274999999</v>
      </c>
      <c r="D145" s="86">
        <f>(D115+D128+D144)</f>
        <v>272805.48000000004</v>
      </c>
      <c r="E145" s="86">
        <f>(E115+E128+E144)</f>
        <v>412420.87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12/02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10/22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14144129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3.7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3550000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3550000</v>
      </c>
    </row>
    <row r="157" spans="1:9" x14ac:dyDescent="0.2">
      <c r="A157" s="22" t="s">
        <v>33</v>
      </c>
      <c r="B157" s="137">
        <f>'DOE25'!F496</f>
        <v>710000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710000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2840000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2840000</v>
      </c>
    </row>
    <row r="160" spans="1:9" x14ac:dyDescent="0.2">
      <c r="A160" s="22" t="s">
        <v>36</v>
      </c>
      <c r="B160" s="137">
        <f>'DOE25'!F499</f>
        <v>424935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424935</v>
      </c>
    </row>
    <row r="161" spans="1:7" x14ac:dyDescent="0.2">
      <c r="A161" s="22" t="s">
        <v>37</v>
      </c>
      <c r="B161" s="137">
        <f>'DOE25'!F500</f>
        <v>3264935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3264935</v>
      </c>
    </row>
    <row r="162" spans="1:7" x14ac:dyDescent="0.2">
      <c r="A162" s="22" t="s">
        <v>38</v>
      </c>
      <c r="B162" s="137">
        <f>'DOE25'!F501</f>
        <v>710000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710000</v>
      </c>
    </row>
    <row r="163" spans="1:7" x14ac:dyDescent="0.2">
      <c r="A163" s="22" t="s">
        <v>39</v>
      </c>
      <c r="B163" s="137">
        <f>'DOE25'!F502</f>
        <v>151408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151408</v>
      </c>
    </row>
    <row r="164" spans="1:7" x14ac:dyDescent="0.2">
      <c r="A164" s="22" t="s">
        <v>246</v>
      </c>
      <c r="B164" s="137">
        <f>'DOE25'!F503</f>
        <v>861408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861408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80" orientation="landscape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zoomScale="200" zoomScaleNormal="200" zoomScalePageLayoutView="200" workbookViewId="0">
      <selection activeCell="B34" sqref="B34"/>
    </sheetView>
  </sheetViews>
  <sheetFormatPr defaultColWidth="9"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Barrington School District - SAU #74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13610</v>
      </c>
    </row>
    <row r="5" spans="1:4" x14ac:dyDescent="0.2">
      <c r="B5" t="s">
        <v>698</v>
      </c>
      <c r="C5" s="179">
        <f>IF('DOE25'!G665+'DOE25'!G670=0,0,ROUND('DOE25'!G672,0))</f>
        <v>14755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14116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11658168</v>
      </c>
      <c r="D10" s="182">
        <f>ROUND((C10/$C$28)*100,1)</f>
        <v>53.4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3515472</v>
      </c>
      <c r="D11" s="182">
        <f>ROUND((C11/$C$28)*100,1)</f>
        <v>16.100000000000001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64833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1399920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861345</v>
      </c>
      <c r="D16" s="182">
        <f t="shared" si="0"/>
        <v>3.9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715131</v>
      </c>
      <c r="D17" s="182">
        <f t="shared" si="0"/>
        <v>3.3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771454</v>
      </c>
      <c r="D18" s="182">
        <f t="shared" si="0"/>
        <v>3.5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207538</v>
      </c>
      <c r="D19" s="182">
        <f t="shared" si="0"/>
        <v>1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1299028</v>
      </c>
      <c r="D20" s="182">
        <f t="shared" si="0"/>
        <v>5.9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1068167</v>
      </c>
      <c r="D21" s="182">
        <f t="shared" si="0"/>
        <v>4.9000000000000004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183535</v>
      </c>
      <c r="D25" s="182">
        <f t="shared" si="0"/>
        <v>0.8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96868.6</v>
      </c>
      <c r="D27" s="182">
        <f t="shared" si="0"/>
        <v>0.4</v>
      </c>
    </row>
    <row r="28" spans="1:4" x14ac:dyDescent="0.2">
      <c r="B28" s="187" t="s">
        <v>717</v>
      </c>
      <c r="C28" s="180">
        <f>SUM(C10:C27)</f>
        <v>21841459.600000001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86635</v>
      </c>
    </row>
    <row r="30" spans="1:4" x14ac:dyDescent="0.2">
      <c r="B30" s="187" t="s">
        <v>723</v>
      </c>
      <c r="C30" s="180">
        <f>SUM(C28:C29)</f>
        <v>21928094.600000001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710000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14997557</v>
      </c>
      <c r="D35" s="182">
        <f t="shared" ref="D35:D40" si="1">ROUND((C35/$C$41)*100,1)</f>
        <v>66.7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138625.41000000201</v>
      </c>
      <c r="D36" s="182">
        <f t="shared" si="1"/>
        <v>0.6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6213667</v>
      </c>
      <c r="D37" s="182">
        <f t="shared" si="1"/>
        <v>27.6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421510</v>
      </c>
      <c r="D38" s="182">
        <f t="shared" si="1"/>
        <v>1.9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723865</v>
      </c>
      <c r="D39" s="182">
        <f t="shared" si="1"/>
        <v>3.2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22495224.410000004</v>
      </c>
      <c r="D41" s="184">
        <f>SUM(D35:D40)</f>
        <v>100.00000000000001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scale="95" orientation="portrait"/>
  <headerFooter alignWithMargins="0">
    <oddHeader>&amp;A</oddHeader>
    <oddFooter>Page &amp;P</oddFooter>
  </headerFooter>
  <ignoredErrors>
    <ignoredError sqref="D10:D28" evalError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ColWidth="9"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Barrington School District - SAU #74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/>
  <headerFooter alignWithMargins="0">
    <oddHeader>&amp;LDistrict Notes</oddHeader>
    <oddFooter>&amp;CPage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1.25" x14ac:dyDescent="0.2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2018-08-30T14:55:59Z</cp:lastPrinted>
  <dcterms:created xsi:type="dcterms:W3CDTF">1997-12-04T19:04:30Z</dcterms:created>
  <dcterms:modified xsi:type="dcterms:W3CDTF">2018-11-30T19:38:36Z</dcterms:modified>
</cp:coreProperties>
</file>