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110" i="1" l="1"/>
  <c r="F465" i="1"/>
  <c r="G448" i="1" l="1"/>
  <c r="F197" i="1" l="1"/>
  <c r="J197" i="1"/>
  <c r="K284" i="1"/>
  <c r="H282" i="1"/>
  <c r="G282" i="1"/>
  <c r="F282" i="1"/>
  <c r="K197" i="1"/>
  <c r="K205" i="1"/>
  <c r="H203" i="1"/>
  <c r="F203" i="1"/>
  <c r="H102" i="1"/>
  <c r="F358" i="1"/>
  <c r="G97" i="1"/>
  <c r="H523" i="1" l="1"/>
  <c r="G472" i="1"/>
  <c r="G468" i="1"/>
  <c r="H358" i="1"/>
  <c r="H240" i="1"/>
  <c r="H234" i="1"/>
  <c r="H222" i="1"/>
  <c r="H207" i="1"/>
  <c r="H205" i="1"/>
  <c r="H204" i="1"/>
  <c r="H202" i="1"/>
  <c r="H197" i="1"/>
  <c r="G158" i="1"/>
  <c r="G132" i="1"/>
  <c r="H22" i="1"/>
  <c r="H24" i="1"/>
  <c r="G12" i="1"/>
  <c r="F9" i="1"/>
  <c r="F24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E16" i="13" s="1"/>
  <c r="G16" i="13"/>
  <c r="L209" i="1"/>
  <c r="C125" i="2" s="1"/>
  <c r="L227" i="1"/>
  <c r="L245" i="1"/>
  <c r="F5" i="13"/>
  <c r="G5" i="13"/>
  <c r="L197" i="1"/>
  <c r="L198" i="1"/>
  <c r="L199" i="1"/>
  <c r="L200" i="1"/>
  <c r="C112" i="2" s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C20" i="10" s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G661" i="1" s="1"/>
  <c r="L359" i="1"/>
  <c r="L360" i="1"/>
  <c r="I367" i="1"/>
  <c r="J290" i="1"/>
  <c r="J309" i="1"/>
  <c r="J328" i="1"/>
  <c r="K290" i="1"/>
  <c r="K309" i="1"/>
  <c r="K328" i="1"/>
  <c r="L276" i="1"/>
  <c r="E109" i="2" s="1"/>
  <c r="L277" i="1"/>
  <c r="L278" i="1"/>
  <c r="L279" i="1"/>
  <c r="L281" i="1"/>
  <c r="E118" i="2" s="1"/>
  <c r="L282" i="1"/>
  <c r="L283" i="1"/>
  <c r="E120" i="2" s="1"/>
  <c r="L284" i="1"/>
  <c r="L285" i="1"/>
  <c r="L286" i="1"/>
  <c r="L287" i="1"/>
  <c r="L288" i="1"/>
  <c r="L295" i="1"/>
  <c r="L309" i="1" s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C25" i="10" s="1"/>
  <c r="L341" i="1"/>
  <c r="L342" i="1"/>
  <c r="L255" i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A31" i="12" s="1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56" i="2" s="1"/>
  <c r="F79" i="1"/>
  <c r="C57" i="2" s="1"/>
  <c r="F94" i="1"/>
  <c r="F111" i="1"/>
  <c r="G111" i="1"/>
  <c r="G112" i="1" s="1"/>
  <c r="H79" i="1"/>
  <c r="E57" i="2" s="1"/>
  <c r="H94" i="1"/>
  <c r="H111" i="1"/>
  <c r="H112" i="1" s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J140" i="1" s="1"/>
  <c r="F147" i="1"/>
  <c r="C85" i="2" s="1"/>
  <c r="F162" i="1"/>
  <c r="F169" i="1" s="1"/>
  <c r="G147" i="1"/>
  <c r="G162" i="1"/>
  <c r="H147" i="1"/>
  <c r="H162" i="1"/>
  <c r="H169" i="1" s="1"/>
  <c r="I147" i="1"/>
  <c r="I162" i="1"/>
  <c r="I169" i="1" s="1"/>
  <c r="C11" i="10"/>
  <c r="L250" i="1"/>
  <c r="L332" i="1"/>
  <c r="L254" i="1"/>
  <c r="L268" i="1"/>
  <c r="C26" i="10" s="1"/>
  <c r="L269" i="1"/>
  <c r="C143" i="2" s="1"/>
  <c r="L349" i="1"/>
  <c r="L350" i="1"/>
  <c r="I665" i="1"/>
  <c r="I670" i="1"/>
  <c r="G662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L526" i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I552" i="1" s="1"/>
  <c r="L537" i="1"/>
  <c r="I550" i="1" s="1"/>
  <c r="L538" i="1"/>
  <c r="I551" i="1" s="1"/>
  <c r="L541" i="1"/>
  <c r="J549" i="1" s="1"/>
  <c r="L542" i="1"/>
  <c r="J550" i="1" s="1"/>
  <c r="L543" i="1"/>
  <c r="E132" i="2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D31" i="2" s="1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C58" i="2"/>
  <c r="E58" i="2"/>
  <c r="C59" i="2"/>
  <c r="D59" i="2"/>
  <c r="E59" i="2"/>
  <c r="F59" i="2"/>
  <c r="D60" i="2"/>
  <c r="C61" i="2"/>
  <c r="D61" i="2"/>
  <c r="E61" i="2"/>
  <c r="F61" i="2"/>
  <c r="C66" i="2"/>
  <c r="C70" i="2" s="1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E103" i="2" s="1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C113" i="2"/>
  <c r="E113" i="2"/>
  <c r="D115" i="2"/>
  <c r="F115" i="2"/>
  <c r="G115" i="2"/>
  <c r="E119" i="2"/>
  <c r="E122" i="2"/>
  <c r="E123" i="2"/>
  <c r="E124" i="2"/>
  <c r="F128" i="2"/>
  <c r="G128" i="2"/>
  <c r="F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G157" i="2" s="1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G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G32" i="1"/>
  <c r="G52" i="1" s="1"/>
  <c r="H618" i="1" s="1"/>
  <c r="H32" i="1"/>
  <c r="I32" i="1"/>
  <c r="H617" i="1"/>
  <c r="H51" i="1"/>
  <c r="I51" i="1"/>
  <c r="F177" i="1"/>
  <c r="I177" i="1"/>
  <c r="F183" i="1"/>
  <c r="G183" i="1"/>
  <c r="G192" i="1" s="1"/>
  <c r="H183" i="1"/>
  <c r="I183" i="1"/>
  <c r="J183" i="1"/>
  <c r="J192" i="1" s="1"/>
  <c r="F188" i="1"/>
  <c r="F192" i="1" s="1"/>
  <c r="G188" i="1"/>
  <c r="H188" i="1"/>
  <c r="I188" i="1"/>
  <c r="F211" i="1"/>
  <c r="G211" i="1"/>
  <c r="H211" i="1"/>
  <c r="I211" i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L256" i="1" s="1"/>
  <c r="G256" i="1"/>
  <c r="H256" i="1"/>
  <c r="I256" i="1"/>
  <c r="J256" i="1"/>
  <c r="K256" i="1"/>
  <c r="F290" i="1"/>
  <c r="F338" i="1" s="1"/>
  <c r="F352" i="1" s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G634" i="1" s="1"/>
  <c r="J634" i="1" s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J645" i="1" s="1"/>
  <c r="H408" i="1"/>
  <c r="H644" i="1" s="1"/>
  <c r="I408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I452" i="1"/>
  <c r="F460" i="1"/>
  <c r="G460" i="1"/>
  <c r="H460" i="1"/>
  <c r="I460" i="1"/>
  <c r="I461" i="1" s="1"/>
  <c r="H642" i="1" s="1"/>
  <c r="F461" i="1"/>
  <c r="H461" i="1"/>
  <c r="F470" i="1"/>
  <c r="G470" i="1"/>
  <c r="H470" i="1"/>
  <c r="I470" i="1"/>
  <c r="I476" i="1" s="1"/>
  <c r="H625" i="1" s="1"/>
  <c r="J470" i="1"/>
  <c r="F474" i="1"/>
  <c r="G474" i="1"/>
  <c r="H474" i="1"/>
  <c r="H476" i="1" s="1"/>
  <c r="H624" i="1" s="1"/>
  <c r="J624" i="1" s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K545" i="1" s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3" i="1"/>
  <c r="L564" i="1"/>
  <c r="F565" i="1"/>
  <c r="F571" i="1" s="1"/>
  <c r="G565" i="1"/>
  <c r="H565" i="1"/>
  <c r="I565" i="1"/>
  <c r="J565" i="1"/>
  <c r="K565" i="1"/>
  <c r="L567" i="1"/>
  <c r="L568" i="1"/>
  <c r="L569" i="1"/>
  <c r="L570" i="1" s="1"/>
  <c r="F570" i="1"/>
  <c r="G570" i="1"/>
  <c r="H570" i="1"/>
  <c r="I570" i="1"/>
  <c r="I571" i="1" s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22" i="1"/>
  <c r="G623" i="1"/>
  <c r="G624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39" i="1"/>
  <c r="J639" i="1" s="1"/>
  <c r="H639" i="1"/>
  <c r="G641" i="1"/>
  <c r="H641" i="1"/>
  <c r="G643" i="1"/>
  <c r="H643" i="1"/>
  <c r="G644" i="1"/>
  <c r="G645" i="1"/>
  <c r="G650" i="1"/>
  <c r="G651" i="1"/>
  <c r="G652" i="1"/>
  <c r="H652" i="1"/>
  <c r="G653" i="1"/>
  <c r="H653" i="1"/>
  <c r="G654" i="1"/>
  <c r="H654" i="1"/>
  <c r="H655" i="1"/>
  <c r="L328" i="1"/>
  <c r="D62" i="2"/>
  <c r="D63" i="2" s="1"/>
  <c r="D50" i="2"/>
  <c r="G156" i="2"/>
  <c r="G62" i="2"/>
  <c r="D19" i="13"/>
  <c r="C19" i="13" s="1"/>
  <c r="E78" i="2"/>
  <c r="E81" i="2" s="1"/>
  <c r="J571" i="1"/>
  <c r="G22" i="2"/>
  <c r="H140" i="1"/>
  <c r="H25" i="13"/>
  <c r="C25" i="13" s="1"/>
  <c r="H571" i="1"/>
  <c r="J545" i="1"/>
  <c r="H338" i="1"/>
  <c r="H352" i="1" s="1"/>
  <c r="H192" i="1"/>
  <c r="J636" i="1"/>
  <c r="G36" i="2"/>
  <c r="L565" i="1"/>
  <c r="H33" i="13"/>
  <c r="G461" i="1" l="1"/>
  <c r="H640" i="1" s="1"/>
  <c r="J640" i="1" s="1"/>
  <c r="J476" i="1"/>
  <c r="H626" i="1" s="1"/>
  <c r="A40" i="12"/>
  <c r="J651" i="1"/>
  <c r="H552" i="1"/>
  <c r="L534" i="1"/>
  <c r="K550" i="1"/>
  <c r="I545" i="1"/>
  <c r="H545" i="1"/>
  <c r="G545" i="1"/>
  <c r="G476" i="1"/>
  <c r="H623" i="1" s="1"/>
  <c r="J623" i="1" s="1"/>
  <c r="F476" i="1"/>
  <c r="H622" i="1" s="1"/>
  <c r="J622" i="1" s="1"/>
  <c r="I446" i="1"/>
  <c r="G642" i="1" s="1"/>
  <c r="L401" i="1"/>
  <c r="C139" i="2" s="1"/>
  <c r="D29" i="13"/>
  <c r="C29" i="13" s="1"/>
  <c r="L362" i="1"/>
  <c r="C27" i="10" s="1"/>
  <c r="H661" i="1"/>
  <c r="L290" i="1"/>
  <c r="L338" i="1" s="1"/>
  <c r="L352" i="1" s="1"/>
  <c r="G633" i="1" s="1"/>
  <c r="J633" i="1" s="1"/>
  <c r="A13" i="12"/>
  <c r="L270" i="1"/>
  <c r="E8" i="13"/>
  <c r="C8" i="13" s="1"/>
  <c r="I257" i="1"/>
  <c r="I271" i="1" s="1"/>
  <c r="C110" i="2"/>
  <c r="C109" i="2"/>
  <c r="F257" i="1"/>
  <c r="F271" i="1" s="1"/>
  <c r="H257" i="1"/>
  <c r="H271" i="1" s="1"/>
  <c r="C123" i="2"/>
  <c r="C121" i="2"/>
  <c r="D7" i="13"/>
  <c r="C7" i="13" s="1"/>
  <c r="C119" i="2"/>
  <c r="C16" i="10"/>
  <c r="G257" i="1"/>
  <c r="G271" i="1" s="1"/>
  <c r="L211" i="1"/>
  <c r="C10" i="10"/>
  <c r="D5" i="13"/>
  <c r="C5" i="13" s="1"/>
  <c r="J644" i="1"/>
  <c r="E62" i="2"/>
  <c r="E63" i="2" s="1"/>
  <c r="C91" i="2"/>
  <c r="E31" i="2"/>
  <c r="H52" i="1"/>
  <c r="H619" i="1" s="1"/>
  <c r="D18" i="2"/>
  <c r="J617" i="1"/>
  <c r="J641" i="1"/>
  <c r="F18" i="2"/>
  <c r="C35" i="10"/>
  <c r="C56" i="2"/>
  <c r="C21" i="10"/>
  <c r="H647" i="1"/>
  <c r="F662" i="1"/>
  <c r="I662" i="1" s="1"/>
  <c r="C124" i="2"/>
  <c r="G649" i="1"/>
  <c r="J649" i="1" s="1"/>
  <c r="D15" i="13"/>
  <c r="C15" i="13" s="1"/>
  <c r="C118" i="2"/>
  <c r="D6" i="13"/>
  <c r="C6" i="13" s="1"/>
  <c r="C12" i="10"/>
  <c r="C111" i="2"/>
  <c r="C122" i="2"/>
  <c r="E13" i="13"/>
  <c r="C13" i="13" s="1"/>
  <c r="C16" i="13"/>
  <c r="F22" i="13"/>
  <c r="C22" i="13" s="1"/>
  <c r="D12" i="13"/>
  <c r="C12" i="13" s="1"/>
  <c r="L427" i="1"/>
  <c r="L434" i="1" s="1"/>
  <c r="G638" i="1" s="1"/>
  <c r="J638" i="1" s="1"/>
  <c r="C114" i="2"/>
  <c r="F661" i="1"/>
  <c r="C19" i="10"/>
  <c r="L393" i="1"/>
  <c r="C138" i="2" s="1"/>
  <c r="C130" i="2"/>
  <c r="C29" i="10"/>
  <c r="E125" i="2"/>
  <c r="E121" i="2"/>
  <c r="E128" i="2" s="1"/>
  <c r="E112" i="2"/>
  <c r="E115" i="2" s="1"/>
  <c r="E145" i="2" s="1"/>
  <c r="C13" i="10"/>
  <c r="D127" i="2"/>
  <c r="D128" i="2" s="1"/>
  <c r="D145" i="2" s="1"/>
  <c r="D17" i="13"/>
  <c r="C17" i="13" s="1"/>
  <c r="D14" i="13"/>
  <c r="C14" i="13" s="1"/>
  <c r="C18" i="10"/>
  <c r="L247" i="1"/>
  <c r="H660" i="1" s="1"/>
  <c r="H664" i="1" s="1"/>
  <c r="H667" i="1" s="1"/>
  <c r="C120" i="2"/>
  <c r="J655" i="1"/>
  <c r="F112" i="1"/>
  <c r="J643" i="1"/>
  <c r="I52" i="1"/>
  <c r="H620" i="1" s="1"/>
  <c r="J620" i="1" s="1"/>
  <c r="G625" i="1"/>
  <c r="G164" i="2"/>
  <c r="C78" i="2"/>
  <c r="C81" i="2" s="1"/>
  <c r="C132" i="2"/>
  <c r="G549" i="1"/>
  <c r="L529" i="1"/>
  <c r="L351" i="1"/>
  <c r="L229" i="1"/>
  <c r="C17" i="10"/>
  <c r="K598" i="1"/>
  <c r="G647" i="1" s="1"/>
  <c r="J625" i="1"/>
  <c r="K257" i="1"/>
  <c r="K271" i="1" s="1"/>
  <c r="C62" i="2"/>
  <c r="C18" i="2"/>
  <c r="J551" i="1"/>
  <c r="J552" i="1" s="1"/>
  <c r="L544" i="1"/>
  <c r="F551" i="1"/>
  <c r="L524" i="1"/>
  <c r="C32" i="10"/>
  <c r="C15" i="10"/>
  <c r="J338" i="1"/>
  <c r="J352" i="1" s="1"/>
  <c r="L614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L571" i="1"/>
  <c r="I192" i="1"/>
  <c r="E91" i="2"/>
  <c r="D51" i="2"/>
  <c r="J654" i="1"/>
  <c r="J653" i="1"/>
  <c r="F144" i="2"/>
  <c r="F145" i="2" s="1"/>
  <c r="G21" i="2"/>
  <c r="G31" i="2" s="1"/>
  <c r="J32" i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C36" i="10"/>
  <c r="G63" i="2"/>
  <c r="J618" i="1"/>
  <c r="G42" i="2"/>
  <c r="J51" i="1"/>
  <c r="G16" i="2"/>
  <c r="J19" i="1"/>
  <c r="G621" i="1" s="1"/>
  <c r="G18" i="2"/>
  <c r="F545" i="1"/>
  <c r="H434" i="1"/>
  <c r="J619" i="1"/>
  <c r="D103" i="2"/>
  <c r="D104" i="2" s="1"/>
  <c r="I140" i="1"/>
  <c r="I193" i="1" s="1"/>
  <c r="G630" i="1" s="1"/>
  <c r="J630" i="1" s="1"/>
  <c r="A22" i="12"/>
  <c r="G50" i="2"/>
  <c r="J652" i="1"/>
  <c r="J642" i="1"/>
  <c r="G571" i="1"/>
  <c r="I434" i="1"/>
  <c r="G434" i="1"/>
  <c r="I663" i="1"/>
  <c r="F193" i="1" l="1"/>
  <c r="G627" i="1" s="1"/>
  <c r="J627" i="1" s="1"/>
  <c r="E104" i="2"/>
  <c r="L545" i="1"/>
  <c r="G51" i="2"/>
  <c r="L408" i="1"/>
  <c r="G637" i="1" s="1"/>
  <c r="J637" i="1" s="1"/>
  <c r="H646" i="1"/>
  <c r="J646" i="1" s="1"/>
  <c r="I661" i="1"/>
  <c r="G635" i="1"/>
  <c r="J635" i="1" s="1"/>
  <c r="F660" i="1"/>
  <c r="F664" i="1" s="1"/>
  <c r="C115" i="2"/>
  <c r="J647" i="1"/>
  <c r="L257" i="1"/>
  <c r="L271" i="1" s="1"/>
  <c r="G632" i="1" s="1"/>
  <c r="J632" i="1" s="1"/>
  <c r="E51" i="2"/>
  <c r="H672" i="1"/>
  <c r="C6" i="10" s="1"/>
  <c r="E33" i="13"/>
  <c r="D35" i="13" s="1"/>
  <c r="C28" i="10"/>
  <c r="D19" i="10" s="1"/>
  <c r="D31" i="13"/>
  <c r="C31" i="13" s="1"/>
  <c r="C141" i="2"/>
  <c r="C144" i="2" s="1"/>
  <c r="G660" i="1"/>
  <c r="G664" i="1" s="1"/>
  <c r="F552" i="1"/>
  <c r="K551" i="1"/>
  <c r="C63" i="2"/>
  <c r="C104" i="2" s="1"/>
  <c r="C128" i="2"/>
  <c r="H648" i="1"/>
  <c r="J648" i="1" s="1"/>
  <c r="G104" i="2"/>
  <c r="G552" i="1"/>
  <c r="K549" i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I660" i="1" l="1"/>
  <c r="I664" i="1" s="1"/>
  <c r="I672" i="1" s="1"/>
  <c r="C7" i="10" s="1"/>
  <c r="D33" i="13"/>
  <c r="D36" i="13" s="1"/>
  <c r="D15" i="10"/>
  <c r="D12" i="10"/>
  <c r="D27" i="10"/>
  <c r="D11" i="10"/>
  <c r="D22" i="10"/>
  <c r="D20" i="10"/>
  <c r="D17" i="10"/>
  <c r="D13" i="10"/>
  <c r="D21" i="10"/>
  <c r="D18" i="10"/>
  <c r="D25" i="10"/>
  <c r="D24" i="10"/>
  <c r="K552" i="1"/>
  <c r="F672" i="1"/>
  <c r="C4" i="10" s="1"/>
  <c r="F667" i="1"/>
  <c r="D10" i="10"/>
  <c r="D26" i="10"/>
  <c r="C30" i="10"/>
  <c r="D16" i="10"/>
  <c r="D23" i="10"/>
  <c r="G667" i="1"/>
  <c r="G672" i="1"/>
  <c r="C5" i="10" s="1"/>
  <c r="C145" i="2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<sst xmlns="http://schemas.openxmlformats.org/spreadsheetml/2006/main" count="3957" uniqueCount="913">
  <si>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</si>
  <si>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</si>
  <si>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</si>
  <si>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</si>
  <si>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</si>
  <si>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</si>
  <si>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</si>
  <si>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</si>
  <si>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</si>
  <si>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</si>
  <si>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</si>
  <si>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</si>
  <si>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</si>
  <si>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</si>
  <si>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</si>
  <si>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</si>
  <si>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</si>
  <si>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</si>
  <si>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</si>
  <si>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</si>
  <si>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</si>
  <si>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</si>
  <si>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</si>
  <si>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</si>
  <si>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</si>
  <si>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</si>
  <si>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</si>
  <si>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</si>
  <si>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</si>
  <si>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</si>
  <si>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</si>
  <si>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</si>
  <si>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</si>
  <si>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</si>
  <si>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</si>
  <si>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</si>
  <si>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</si>
  <si>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</si>
  <si>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</si>
  <si>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</si>
  <si>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</si>
  <si>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</si>
  <si>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</si>
  <si>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</si>
  <si>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</si>
  <si>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</si>
  <si>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</si>
  <si>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</si>
  <si>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</si>
  <si>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</si>
  <si>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</si>
  <si>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</si>
  <si>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</si>
  <si>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</si>
  <si>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</si>
  <si>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</si>
  <si>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</si>
  <si>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</si>
  <si>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</si>
  <si>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</si>
  <si>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</si>
  <si>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</si>
  <si>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</si>
  <si>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</si>
  <si>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</si>
  <si>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</si>
  <si>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</si>
  <si>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</si>
  <si>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</si>
  <si>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</si>
  <si>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</si>
  <si>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</si>
  <si>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</si>
  <si>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</si>
  <si>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</si>
  <si>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</si>
  <si>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</si>
  <si>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</si>
  <si>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</si>
  <si>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</si>
  <si>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</si>
  <si>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</si>
  <si>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</si>
  <si>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</si>
  <si>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</si>
  <si>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</si>
  <si>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</si>
  <si>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</si>
  <si>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</si>
  <si>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</si>
  <si>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</si>
  <si>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</si>
  <si>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</si>
  <si>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</si>
  <si>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</si>
  <si>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</si>
  <si>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</si>
  <si>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</si>
  <si>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</si>
  <si>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</si>
  <si>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</si>
  <si>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</si>
  <si>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</si>
  <si>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</si>
  <si>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</si>
  <si>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</si>
  <si>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</si>
  <si>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</si>
  <si>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</si>
  <si>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</si>
  <si>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</si>
  <si>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</si>
  <si>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</si>
  <si>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</si>
  <si>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</si>
  <si>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</si>
  <si>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</si>
  <si>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</si>
  <si>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</si>
  <si>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</si>
  <si>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</si>
  <si>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</si>
  <si>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</si>
  <si>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</si>
  <si>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</si>
  <si>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</si>
  <si>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</si>
  <si>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</si>
  <si>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</si>
  <si>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</si>
  <si>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</si>
  <si>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</si>
  <si>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</si>
  <si>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</si>
  <si>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</si>
  <si>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</si>
  <si>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</si>
  <si>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</si>
  <si>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</si>
  <si>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</si>
  <si>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</si>
  <si>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</si>
  <si>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</si>
  <si>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</si>
  <si>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</si>
  <si>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</si>
  <si>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</si>
  <si>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</si>
  <si>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</si>
  <si>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</si>
  <si>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</si>
  <si>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</si>
  <si>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</si>
  <si>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</si>
  <si>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</si>
  <si>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</si>
  <si>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</si>
  <si>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</si>
  <si>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</si>
  <si>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</si>
  <si>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</si>
  <si>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</si>
  <si>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</si>
  <si>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</si>
  <si>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</si>
  <si>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</si>
  <si>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</si>
  <si>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</si>
  <si>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</si>
  <si>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</si>
  <si>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</si>
  <si>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</si>
  <si>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</si>
  <si>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</si>
  <si>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</si>
  <si>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</si>
  <si>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</si>
  <si>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</si>
  <si>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</si>
  <si>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</si>
  <si>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</si>
  <si>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</si>
  <si>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</si>
  <si>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</si>
  <si>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</si>
  <si>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</si>
  <si>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</si>
  <si>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</si>
  <si>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</si>
  <si>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</si>
  <si>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</si>
  <si>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</si>
  <si>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</si>
  <si>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</si>
  <si>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</si>
  <si>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</si>
  <si>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</si>
  <si>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</si>
  <si>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</si>
  <si>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</si>
  <si>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</si>
  <si>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</si>
  <si>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</si>
  <si>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</si>
  <si>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</si>
  <si>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</si>
  <si>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</si>
  <si>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</si>
  <si>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</si>
  <si>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</si>
  <si>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</si>
  <si>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</si>
  <si>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</si>
  <si>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</si>
  <si>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</si>
  <si>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</si>
  <si>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</si>
  <si>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</si>
  <si>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</si>
  <si>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</si>
  <si>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</si>
  <si>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</si>
  <si>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</si>
  <si>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</si>
  <si>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</si>
  <si>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</si>
  <si>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</si>
  <si>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</si>
  <si>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</si>
  <si>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</si>
  <si>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</si>
  <si>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</si>
  <si>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</si>
  <si>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</si>
  <si>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</si>
  <si>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</si>
  <si>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</si>
  <si>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</si>
  <si>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</si>
  <si>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</si>
  <si>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</si>
  <si>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</si>
  <si>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</si>
  <si>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</si>
  <si>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</si>
  <si>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</si>
  <si>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</si>
  <si>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</si>
  <si>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</si>
  <si>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</si>
  <si>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</si>
  <si>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</si>
  <si>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</si>
  <si>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</si>
  <si>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</si>
  <si>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</si>
  <si>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</si>
  <si>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</si>
  <si>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</si>
  <si>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</si>
  <si>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</si>
  <si>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</si>
  <si>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</si>
  <si>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</si>
  <si>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</si>
  <si>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</si>
  <si>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</si>
  <si>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</si>
  <si>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</si>
  <si>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</si>
  <si>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</si>
  <si>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</si>
  <si>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</si>
  <si>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</si>
  <si>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</si>
  <si>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</si>
  <si>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</si>
  <si>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</si>
  <si>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</si>
  <si>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</si>
  <si>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</si>
  <si>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</si>
  <si>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</si>
  <si>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</si>
  <si>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</si>
  <si>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</si>
  <si>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</si>
  <si>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</si>
  <si>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</si>
  <si>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</si>
  <si>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</si>
  <si>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</si>
  <si>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</si>
  <si>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</si>
  <si>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</si>
  <si>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</si>
  <si>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</si>
  <si>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</si>
  <si>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</si>
  <si>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</si>
  <si>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</si>
  <si>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</si>
  <si>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</si>
  <si>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</si>
  <si>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</si>
  <si>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</si>
  <si>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</si>
  <si>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</si>
  <si>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</si>
  <si>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</si>
  <si>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</si>
  <si>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</si>
  <si>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</si>
  <si>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</si>
  <si>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</si>
  <si>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</si>
  <si>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</si>
  <si>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</si>
  <si>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</si>
  <si>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</si>
  <si>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</si>
  <si>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</si>
  <si>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</si>
  <si>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</si>
  <si>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</si>
  <si>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</si>
  <si>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</si>
  <si>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</si>
  <si>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</si>
  <si>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</si>
  <si>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</si>
  <si>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</si>
  <si>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</si>
  <si>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</si>
  <si>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</si>
  <si>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</si>
  <si>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</si>
  <si>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</si>
  <si>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</si>
  <si>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</si>
  <si>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</si>
  <si>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</si>
  <si>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</si>
  <si>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</si>
  <si>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</si>
  <si>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</si>
  <si>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</si>
  <si>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</si>
  <si>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</si>
  <si>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</si>
  <si>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</si>
  <si>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</si>
  <si>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</si>
  <si>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</si>
  <si>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</si>
  <si>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</si>
  <si>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</si>
  <si>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</si>
  <si>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</si>
  <si>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</si>
  <si>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</si>
  <si>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</si>
  <si>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</si>
  <si>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</si>
  <si>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</si>
  <si>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</si>
  <si>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</si>
  <si>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</si>
  <si>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</si>
  <si>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</si>
  <si>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</si>
  <si>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</si>
  <si>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</si>
  <si>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</si>
  <si>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</si>
  <si>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</si>
  <si>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</si>
  <si>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</si>
  <si>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</si>
  <si>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</si>
  <si>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</si>
  <si>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</si>
  <si>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</si>
  <si>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</si>
  <si>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</si>
  <si>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</si>
  <si>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</si>
  <si>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</si>
  <si>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</si>
  <si>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</si>
  <si>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</si>
  <si>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</si>
  <si>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</si>
  <si>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</si>
  <si>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</si>
  <si>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</si>
  <si>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</si>
  <si>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</si>
  <si>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</si>
  <si>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</si>
  <si>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</si>
  <si>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</si>
  <si>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</si>
  <si>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</si>
  <si>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</si>
  <si>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</si>
  <si>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</si>
  <si>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</si>
  <si>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</si>
  <si>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</si>
  <si>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</si>
  <si>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</si>
  <si>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</si>
  <si>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</si>
  <si>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</si>
  <si>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</si>
  <si>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</si>
  <si>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</si>
  <si>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</si>
  <si>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</si>
  <si>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</si>
  <si>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</si>
  <si>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</si>
  <si>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</si>
  <si>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</si>
  <si>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</si>
  <si>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</si>
  <si>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</si>
  <si>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</si>
  <si>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</si>
  <si>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</si>
  <si>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</si>
  <si>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</si>
  <si>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</si>
  <si>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</si>
  <si>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</si>
  <si>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</si>
  <si>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</si>
  <si>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</si>
  <si>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</si>
  <si>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</si>
  <si>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</si>
  <si>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</si>
  <si>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</si>
  <si>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</si>
  <si>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</si>
  <si>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</si>
  <si>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</si>
  <si>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</si>
  <si>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</si>
  <si>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</si>
  <si>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</si>
  <si>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</si>
  <si>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</si>
  <si>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</si>
  <si>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</si>
  <si>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</si>
  <si>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</si>
  <si>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</si>
  <si>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</si>
  <si>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</si>
  <si>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</si>
  <si>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</si>
  <si>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</si>
  <si>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</si>
  <si>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</si>
  <si>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</si>
  <si>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</si>
  <si>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</si>
  <si>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</si>
  <si>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</si>
  <si>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</si>
  <si>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</si>
  <si>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</si>
  <si>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</si>
  <si>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</si>
  <si>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</si>
  <si>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</si>
  <si>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</si>
  <si>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</si>
  <si>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</si>
  <si>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</si>
  <si>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</si>
  <si>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</si>
  <si>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</si>
  <si>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</si>
  <si>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</si>
  <si>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</si>
  <si>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</si>
  <si>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</si>
  <si>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</si>
  <si>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</si>
  <si>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</si>
  <si>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</si>
  <si>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</si>
  <si>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</si>
  <si>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</si>
  <si>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</si>
  <si>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</si>
  <si>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</si>
  <si>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</si>
  <si>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</si>
  <si>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</si>
  <si>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</si>
  <si>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</si>
  <si>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</si>
  <si>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</si>
  <si>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</si>
  <si>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</si>
  <si>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</si>
  <si>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</si>
  <si>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</si>
  <si>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</si>
  <si>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</si>
  <si>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</si>
  <si>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</si>
  <si>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</si>
  <si>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</si>
  <si>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</si>
  <si>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</si>
  <si>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</si>
  <si>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</si>
  <si>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</si>
  <si>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</si>
  <si>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</si>
  <si>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</si>
  <si>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</si>
  <si>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</si>
  <si>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</si>
  <si>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</si>
  <si>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</si>
  <si>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</si>
  <si>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</si>
  <si>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</si>
  <si>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</si>
  <si>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</si>
  <si>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</si>
  <si>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</si>
  <si>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</si>
  <si>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</si>
  <si>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</si>
  <si>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</si>
  <si>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</si>
  <si>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</si>
  <si>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</si>
  <si>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</si>
  <si>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</si>
  <si>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</si>
  <si>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</si>
  <si>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</si>
  <si>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</si>
  <si>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</si>
  <si>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</si>
  <si>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</si>
  <si>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</si>
  <si>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</si>
  <si>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</si>
  <si>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</si>
  <si>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</si>
  <si>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</si>
  <si>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</si>
  <si>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</si>
  <si>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</si>
  <si>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</si>
  <si>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</si>
  <si>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</si>
  <si>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</si>
  <si>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</si>
  <si>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</si>
  <si>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</si>
  <si>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</si>
  <si>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</si>
  <si>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</si>
  <si>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</si>
  <si>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</si>
  <si>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</si>
  <si>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</si>
  <si>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</si>
  <si>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</si>
  <si>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</si>
  <si>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</si>
  <si>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</si>
  <si>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</si>
  <si>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</si>
  <si>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</si>
  <si>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</si>
  <si>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</si>
  <si>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</si>
  <si>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</si>
  <si>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</si>
  <si>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</si>
  <si>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</si>
  <si>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</si>
  <si>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</si>
  <si>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</si>
  <si>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</si>
  <si>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</si>
  <si>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</si>
  <si>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</si>
  <si>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</si>
  <si>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</si>
  <si>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</si>
  <si>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</si>
  <si>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</si>
  <si>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</si>
  <si>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</si>
  <si>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</si>
  <si>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</si>
  <si>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</si>
  <si>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</si>
  <si>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</si>
  <si>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</si>
  <si>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</si>
  <si>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</si>
  <si>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</si>
  <si>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</si>
  <si>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</si>
  <si>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</si>
  <si>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</si>
  <si>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</si>
  <si>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</si>
  <si>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</si>
  <si>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</si>
  <si>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</si>
  <si>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</si>
  <si>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</si>
  <si>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</si>
  <si>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</si>
  <si>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</si>
  <si>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</si>
  <si>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</si>
  <si>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</si>
  <si>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</si>
  <si>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</si>
  <si>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</si>
  <si>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</si>
  <si>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</si>
  <si>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</si>
  <si>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</si>
  <si>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</si>
  <si>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</si>
  <si>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</si>
  <si>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</si>
  <si>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</si>
  <si>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</si>
  <si>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</si>
  <si>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</si>
  <si>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</si>
  <si>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</si>
  <si>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</si>
  <si>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</si>
  <si>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</si>
  <si>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</si>
  <si>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</si>
  <si>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</si>
  <si>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</si>
  <si>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</si>
  <si>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</si>
  <si>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</si>
  <si>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</si>
  <si>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</si>
  <si>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</si>
  <si>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</si>
  <si>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</si>
  <si>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</si>
  <si>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</si>
  <si>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</si>
  <si>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</si>
  <si>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</si>
  <si>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</si>
  <si>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</si>
  <si>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</si>
  <si>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</si>
  <si>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</si>
  <si>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</si>
  <si>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</si>
  <si>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</si>
  <si>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</si>
  <si>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</si>
  <si>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</si>
  <si>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</si>
  <si>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</si>
  <si>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</si>
  <si>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</si>
  <si>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</si>
  <si>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</si>
  <si>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</si>
  <si>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</si>
  <si>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</si>
  <si>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</si>
  <si>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</si>
  <si>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</si>
  <si>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</si>
  <si>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</si>
  <si>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</si>
  <si>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</si>
  <si>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</si>
  <si>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</si>
  <si>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</si>
  <si>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</si>
  <si>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</si>
  <si>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</si>
  <si>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</si>
  <si>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</si>
  <si>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</si>
  <si>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</si>
  <si>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</si>
  <si>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</si>
  <si>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</si>
  <si>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</si>
  <si>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</si>
  <si>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</si>
  <si>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</si>
  <si>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</si>
  <si>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</si>
  <si>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</si>
  <si>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</si>
  <si>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</si>
  <si>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</si>
  <si>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</si>
  <si>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</si>
  <si>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</si>
  <si>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</si>
  <si>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</si>
  <si>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</si>
  <si>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</si>
  <si>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</si>
  <si>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</si>
  <si>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</si>
  <si>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</si>
  <si>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</si>
  <si>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</si>
  <si>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</si>
  <si>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</si>
  <si>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</si>
  <si>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</si>
  <si>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</si>
  <si>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</si>
  <si>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</si>
  <si>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</si>
  <si>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</si>
  <si>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</si>
  <si>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</si>
  <si>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</si>
  <si>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</si>
  <si>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</si>
  <si>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</si>
  <si>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</si>
  <si>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</si>
  <si>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</si>
  <si>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</si>
  <si>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</si>
  <si>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</si>
  <si>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</si>
  <si>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</si>
  <si>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</si>
  <si>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</si>
  <si>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</si>
  <si>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</si>
  <si>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</si>
  <si>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</si>
  <si>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</si>
  <si>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</si>
  <si>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</si>
  <si>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</si>
  <si>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</si>
  <si>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</si>
  <si>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</si>
  <si>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</si>
  <si>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</si>
  <si>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</si>
  <si>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</si>
  <si>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</si>
  <si>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</si>
  <si>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</si>
  <si>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</si>
  <si>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</si>
  <si>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</si>
  <si>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</si>
  <si>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</si>
  <si>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</si>
  <si>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</si>
  <si>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</si>
  <si>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</si>
  <si>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</si>
  <si>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</si>
  <si>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</si>
  <si>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</si>
  <si>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</si>
  <si>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</si>
  <si>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</si>
  <si>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</si>
  <si>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</si>
  <si>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</si>
  <si>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</si>
  <si>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</si>
  <si>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</si>
  <si>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</si>
  <si>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</si>
  <si>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</si>
  <si>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</si>
  <si>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</si>
  <si>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</si>
  <si>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</si>
  <si>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</si>
  <si>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</si>
  <si>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</si>
  <si>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</si>
  <si>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</si>
  <si>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</si>
  <si>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</si>
  <si>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</si>
  <si>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</si>
  <si>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</si>
  <si>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</si>
  <si>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</si>
  <si>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</si>
  <si>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</si>
  <si>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</si>
  <si>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</si>
  <si>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</si>
  <si>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</si>
  <si>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</si>
  <si>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</si>
  <si>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</si>
  <si>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</si>
  <si>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</si>
  <si>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</si>
  <si>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</si>
  <si>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</si>
  <si>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</si>
  <si>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</si>
  <si>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</si>
  <si>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</si>
  <si>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</si>
  <si>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</si>
  <si>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</si>
  <si>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</si>
  <si>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</si>
  <si>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</si>
  <si>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</si>
  <si>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</si>
  <si>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</si>
  <si>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</si>
  <si>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</si>
  <si>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</si>
  <si>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</si>
  <si>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</si>
  <si>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</si>
  <si>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</si>
  <si>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</si>
  <si>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</si>
  <si>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</si>
  <si>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</si>
  <si>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</si>
  <si>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</si>
  <si>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</si>
  <si>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</si>
  <si>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</si>
  <si>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</si>
  <si>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</si>
  <si>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</si>
  <si>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</si>
  <si>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</si>
  <si>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</si>
  <si>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</si>
  <si>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</si>
  <si>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</si>
  <si>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</si>
  <si>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</si>
  <si>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</si>
  <si>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</si>
  <si>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</si>
  <si>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</si>
  <si>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</si>
  <si>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</si>
  <si>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</si>
  <si>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</si>
  <si>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</si>
  <si>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</si>
  <si>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</si>
  <si>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</si>
  <si>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</si>
  <si>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</si>
  <si>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</si>
  <si>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</si>
  <si>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</si>
  <si>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</si>
  <si>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</si>
  <si>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</si>
  <si>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</si>
  <si>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</si>
  <si>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</si>
  <si>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</si>
  <si>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</si>
  <si>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</si>
  <si>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</si>
  <si>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</si>
  <si>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</si>
  <si>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</si>
  <si>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</si>
  <si>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</si>
  <si>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</si>
  <si>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</si>
  <si>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</si>
  <si>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</si>
  <si>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</si>
  <si>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</si>
  <si>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</si>
  <si>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</si>
  <si>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</si>
  <si>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</si>
  <si>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BATH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</si>
</sst>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F665" sqref="F665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39</v>
      </c>
      <c r="C2" s="21">
        <v>39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f>-4255+100-1</f>
        <v>-4156</v>
      </c>
      <c r="G9" s="18"/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4292</v>
      </c>
      <c r="G12" s="18">
        <f>1142+1</f>
        <v>1143</v>
      </c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29475</v>
      </c>
      <c r="G13" s="18"/>
      <c r="H13" s="18">
        <v>7356</v>
      </c>
      <c r="I13" s="18"/>
      <c r="J13" s="67">
        <f>SUM(I442)</f>
        <v>127266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12050</v>
      </c>
      <c r="G14" s="18">
        <v>551</v>
      </c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725</v>
      </c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42386</v>
      </c>
      <c r="G19" s="41">
        <f>SUM(G9:G18)</f>
        <v>1694</v>
      </c>
      <c r="H19" s="41">
        <f>SUM(H9:H18)</f>
        <v>7356</v>
      </c>
      <c r="I19" s="41">
        <f>SUM(I9:I18)</f>
        <v>0</v>
      </c>
      <c r="J19" s="41">
        <f>SUM(J9:J18)</f>
        <v>127266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/>
      <c r="H22" s="18">
        <f>5434-1</f>
        <v>5433</v>
      </c>
      <c r="I22" s="18"/>
      <c r="J22" s="67">
        <f>SUM(I448)</f>
        <v>26554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f>39396+1355</f>
        <v>40751</v>
      </c>
      <c r="G24" s="18">
        <v>1694</v>
      </c>
      <c r="H24" s="18">
        <f>273</f>
        <v>273</v>
      </c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v>910</v>
      </c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>
        <v>451</v>
      </c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41661</v>
      </c>
      <c r="G32" s="41">
        <f>SUM(G22:G31)</f>
        <v>1694</v>
      </c>
      <c r="H32" s="41">
        <f>SUM(H22:H31)</f>
        <v>6157</v>
      </c>
      <c r="I32" s="41">
        <f>SUM(I22:I31)</f>
        <v>0</v>
      </c>
      <c r="J32" s="41">
        <f>SUM(J22:J31)</f>
        <v>26554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>
        <v>725</v>
      </c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>
        <v>1199</v>
      </c>
      <c r="I48" s="18"/>
      <c r="J48" s="13">
        <f>SUM(I459)</f>
        <v>100712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0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725</v>
      </c>
      <c r="G51" s="41">
        <f>SUM(G35:G50)</f>
        <v>0</v>
      </c>
      <c r="H51" s="41">
        <f>SUM(H35:H50)</f>
        <v>1199</v>
      </c>
      <c r="I51" s="41">
        <f>SUM(I35:I50)</f>
        <v>0</v>
      </c>
      <c r="J51" s="41">
        <f>SUM(J35:J50)</f>
        <v>100712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42386</v>
      </c>
      <c r="G52" s="41">
        <f>G51+G32</f>
        <v>1694</v>
      </c>
      <c r="H52" s="41">
        <f>H51+H32</f>
        <v>7356</v>
      </c>
      <c r="I52" s="41">
        <f>I51+I32</f>
        <v>0</v>
      </c>
      <c r="J52" s="41">
        <f>J51+J32</f>
        <v>127266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1502602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1502602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10395</v>
      </c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10395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97</v>
      </c>
      <c r="G96" s="18"/>
      <c r="H96" s="18"/>
      <c r="I96" s="18"/>
      <c r="J96" s="18">
        <v>65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f>11203-2</f>
        <v>11201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>
        <f>2337-1</f>
        <v>2336</v>
      </c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303</v>
      </c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f>4952-1</f>
        <v>4951</v>
      </c>
      <c r="G110" s="18">
        <v>333</v>
      </c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5351</v>
      </c>
      <c r="G111" s="41">
        <f>SUM(G96:G110)</f>
        <v>11534</v>
      </c>
      <c r="H111" s="41">
        <f>SUM(H96:H110)</f>
        <v>2336</v>
      </c>
      <c r="I111" s="41">
        <f>SUM(I96:I110)</f>
        <v>0</v>
      </c>
      <c r="J111" s="41">
        <f>SUM(J96:J110)</f>
        <v>65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1518348</v>
      </c>
      <c r="G112" s="41">
        <f>G60+G111</f>
        <v>11534</v>
      </c>
      <c r="H112" s="41">
        <f>H60+H79+H94+H111</f>
        <v>2336</v>
      </c>
      <c r="I112" s="41">
        <f>I60+I111</f>
        <v>0</v>
      </c>
      <c r="J112" s="41">
        <f>J60+J111</f>
        <v>65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538433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276639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/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815072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/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>
        <v>3347</v>
      </c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457</v>
      </c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f>17+379</f>
        <v>396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3804</v>
      </c>
      <c r="G136" s="41">
        <f>SUM(G123:G135)</f>
        <v>396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818876</v>
      </c>
      <c r="G140" s="41">
        <f>G121+SUM(G136:G137)</f>
        <v>396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>
        <v>4603</v>
      </c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26230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7435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f>2654+9396+2229</f>
        <v>14279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/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17237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17237</v>
      </c>
      <c r="G162" s="41">
        <f>SUM(G150:G161)</f>
        <v>14279</v>
      </c>
      <c r="H162" s="41">
        <f>SUM(H150:H161)</f>
        <v>38268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>
        <v>201</v>
      </c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17438</v>
      </c>
      <c r="G169" s="41">
        <f>G147+G162+SUM(G163:G168)</f>
        <v>14279</v>
      </c>
      <c r="H169" s="41">
        <f>H147+H162+SUM(H163:H168)</f>
        <v>38268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42102</v>
      </c>
      <c r="H179" s="18"/>
      <c r="I179" s="18"/>
      <c r="J179" s="18"/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42102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>
        <v>33294</v>
      </c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33294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33294</v>
      </c>
      <c r="G192" s="41">
        <f>G183+SUM(G188:G191)</f>
        <v>42102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2387956</v>
      </c>
      <c r="G193" s="47">
        <f>G112+G140+G169+G192</f>
        <v>68311</v>
      </c>
      <c r="H193" s="47">
        <f>H112+H140+H169+H192</f>
        <v>40604</v>
      </c>
      <c r="I193" s="47">
        <f>I112+I140+I169+I192</f>
        <v>0</v>
      </c>
      <c r="J193" s="47">
        <f>J112+J140+J192</f>
        <v>65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f>315010+1</f>
        <v>315011</v>
      </c>
      <c r="G197" s="18">
        <v>129797</v>
      </c>
      <c r="H197" s="18">
        <f>50057</f>
        <v>50057</v>
      </c>
      <c r="I197" s="18">
        <v>16518</v>
      </c>
      <c r="J197" s="18">
        <f>159-1</f>
        <v>158</v>
      </c>
      <c r="K197" s="18">
        <f>65-1</f>
        <v>64</v>
      </c>
      <c r="L197" s="19">
        <f>SUM(F197:K197)</f>
        <v>511605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77989</v>
      </c>
      <c r="G198" s="18">
        <v>41720</v>
      </c>
      <c r="H198" s="18">
        <v>15998</v>
      </c>
      <c r="I198" s="18">
        <v>368</v>
      </c>
      <c r="J198" s="18"/>
      <c r="K198" s="18">
        <v>125</v>
      </c>
      <c r="L198" s="19">
        <f>SUM(F198:K198)</f>
        <v>136200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3510</v>
      </c>
      <c r="G200" s="18">
        <v>878</v>
      </c>
      <c r="H200" s="18">
        <v>140</v>
      </c>
      <c r="I200" s="18">
        <v>439</v>
      </c>
      <c r="J200" s="18"/>
      <c r="K200" s="18">
        <v>409</v>
      </c>
      <c r="L200" s="19">
        <f>SUM(F200:K200)</f>
        <v>5376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12913</v>
      </c>
      <c r="G202" s="18">
        <v>1071</v>
      </c>
      <c r="H202" s="18">
        <f>40280+1419</f>
        <v>41699</v>
      </c>
      <c r="I202" s="18">
        <v>2842</v>
      </c>
      <c r="J202" s="18"/>
      <c r="K202" s="18">
        <v>106</v>
      </c>
      <c r="L202" s="19">
        <f t="shared" ref="L202:L208" si="0">SUM(F202:K202)</f>
        <v>58631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f>750</f>
        <v>750</v>
      </c>
      <c r="G203" s="18">
        <v>187</v>
      </c>
      <c r="H203" s="18">
        <f>6800+42</f>
        <v>6842</v>
      </c>
      <c r="I203" s="18">
        <v>1484</v>
      </c>
      <c r="J203" s="18">
        <v>1237</v>
      </c>
      <c r="K203" s="18"/>
      <c r="L203" s="19">
        <f t="shared" si="0"/>
        <v>10500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1787</v>
      </c>
      <c r="G204" s="18">
        <v>137</v>
      </c>
      <c r="H204" s="18">
        <f>94817+1818</f>
        <v>96635</v>
      </c>
      <c r="I204" s="18">
        <v>41</v>
      </c>
      <c r="J204" s="18"/>
      <c r="K204" s="18">
        <v>1334</v>
      </c>
      <c r="L204" s="19">
        <f t="shared" si="0"/>
        <v>99934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93716</v>
      </c>
      <c r="G205" s="18">
        <v>43199</v>
      </c>
      <c r="H205" s="18">
        <f>60+2036</f>
        <v>2096</v>
      </c>
      <c r="I205" s="18">
        <v>3562</v>
      </c>
      <c r="J205" s="18">
        <v>2362</v>
      </c>
      <c r="K205" s="18">
        <f>239</f>
        <v>239</v>
      </c>
      <c r="L205" s="19">
        <f t="shared" si="0"/>
        <v>145174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>
        <v>101</v>
      </c>
      <c r="L206" s="19">
        <f t="shared" si="0"/>
        <v>101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30381</v>
      </c>
      <c r="G207" s="18">
        <v>16504</v>
      </c>
      <c r="H207" s="18">
        <f>8464+55449+879</f>
        <v>64792</v>
      </c>
      <c r="I207" s="18">
        <v>44797</v>
      </c>
      <c r="J207" s="18">
        <v>263</v>
      </c>
      <c r="K207" s="18">
        <v>25</v>
      </c>
      <c r="L207" s="19">
        <f t="shared" si="0"/>
        <v>156762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v>67766</v>
      </c>
      <c r="I208" s="18"/>
      <c r="J208" s="18"/>
      <c r="K208" s="18"/>
      <c r="L208" s="19">
        <f t="shared" si="0"/>
        <v>67766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>
        <v>7771</v>
      </c>
      <c r="I209" s="18">
        <v>835</v>
      </c>
      <c r="J209" s="18">
        <v>6514</v>
      </c>
      <c r="K209" s="18"/>
      <c r="L209" s="19">
        <f>SUM(F209:K209)</f>
        <v>15120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536057</v>
      </c>
      <c r="G211" s="41">
        <f t="shared" si="1"/>
        <v>233493</v>
      </c>
      <c r="H211" s="41">
        <f t="shared" si="1"/>
        <v>353796</v>
      </c>
      <c r="I211" s="41">
        <f t="shared" si="1"/>
        <v>70886</v>
      </c>
      <c r="J211" s="41">
        <f t="shared" si="1"/>
        <v>10534</v>
      </c>
      <c r="K211" s="41">
        <f t="shared" si="1"/>
        <v>2403</v>
      </c>
      <c r="L211" s="41">
        <f t="shared" si="1"/>
        <v>1207169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>
        <v>312576</v>
      </c>
      <c r="I215" s="18"/>
      <c r="J215" s="18"/>
      <c r="K215" s="18"/>
      <c r="L215" s="19">
        <f>SUM(F215:K215)</f>
        <v>312576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>
        <v>28488</v>
      </c>
      <c r="I216" s="18"/>
      <c r="J216" s="18"/>
      <c r="K216" s="18"/>
      <c r="L216" s="19">
        <f>SUM(F216:K216)</f>
        <v>28488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>
        <v>4585</v>
      </c>
      <c r="I220" s="18"/>
      <c r="J220" s="18"/>
      <c r="K220" s="18"/>
      <c r="L220" s="19">
        <f t="shared" ref="L220:L226" si="2">SUM(F220:K220)</f>
        <v>4585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v>437</v>
      </c>
      <c r="G222" s="18">
        <v>34</v>
      </c>
      <c r="H222" s="18">
        <f>22123+428</f>
        <v>22551</v>
      </c>
      <c r="I222" s="18">
        <v>9</v>
      </c>
      <c r="J222" s="18"/>
      <c r="K222" s="18">
        <v>311</v>
      </c>
      <c r="L222" s="19">
        <f t="shared" si="2"/>
        <v>23342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>
        <v>17523</v>
      </c>
      <c r="I226" s="18"/>
      <c r="J226" s="18"/>
      <c r="K226" s="18"/>
      <c r="L226" s="19">
        <f t="shared" si="2"/>
        <v>17523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437</v>
      </c>
      <c r="G229" s="41">
        <f>SUM(G215:G228)</f>
        <v>34</v>
      </c>
      <c r="H229" s="41">
        <f>SUM(H215:H228)</f>
        <v>385723</v>
      </c>
      <c r="I229" s="41">
        <f>SUM(I215:I228)</f>
        <v>9</v>
      </c>
      <c r="J229" s="41">
        <f>SUM(J215:J228)</f>
        <v>0</v>
      </c>
      <c r="K229" s="41">
        <f t="shared" si="3"/>
        <v>311</v>
      </c>
      <c r="L229" s="41">
        <f t="shared" si="3"/>
        <v>386514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v>562273</v>
      </c>
      <c r="I233" s="18"/>
      <c r="J233" s="18"/>
      <c r="K233" s="18"/>
      <c r="L233" s="19">
        <f>SUM(F233:K233)</f>
        <v>562273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>
        <f>12630+69648</f>
        <v>82278</v>
      </c>
      <c r="I234" s="18"/>
      <c r="J234" s="18"/>
      <c r="K234" s="18"/>
      <c r="L234" s="19">
        <f>SUM(F234:K234)</f>
        <v>82278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>
        <v>44400</v>
      </c>
      <c r="I235" s="18"/>
      <c r="J235" s="18"/>
      <c r="K235" s="18"/>
      <c r="L235" s="19">
        <f>SUM(F235:K235)</f>
        <v>44400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>
        <v>508</v>
      </c>
      <c r="I238" s="18"/>
      <c r="J238" s="18"/>
      <c r="K238" s="18"/>
      <c r="L238" s="19">
        <f t="shared" ref="L238:L244" si="4">SUM(F238:K238)</f>
        <v>508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994</v>
      </c>
      <c r="G240" s="18">
        <v>76</v>
      </c>
      <c r="H240" s="18">
        <f>41089+811</f>
        <v>41900</v>
      </c>
      <c r="I240" s="18">
        <v>18</v>
      </c>
      <c r="J240" s="18"/>
      <c r="K240" s="18">
        <v>578</v>
      </c>
      <c r="L240" s="19">
        <f t="shared" si="4"/>
        <v>43566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v>32577</v>
      </c>
      <c r="I244" s="18"/>
      <c r="J244" s="18"/>
      <c r="K244" s="18"/>
      <c r="L244" s="19">
        <f t="shared" si="4"/>
        <v>32577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994</v>
      </c>
      <c r="G247" s="41">
        <f t="shared" si="5"/>
        <v>76</v>
      </c>
      <c r="H247" s="41">
        <f t="shared" si="5"/>
        <v>763936</v>
      </c>
      <c r="I247" s="41">
        <f t="shared" si="5"/>
        <v>18</v>
      </c>
      <c r="J247" s="41">
        <f t="shared" si="5"/>
        <v>0</v>
      </c>
      <c r="K247" s="41">
        <f t="shared" si="5"/>
        <v>578</v>
      </c>
      <c r="L247" s="41">
        <f t="shared" si="5"/>
        <v>765602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537488</v>
      </c>
      <c r="G257" s="41">
        <f t="shared" si="8"/>
        <v>233603</v>
      </c>
      <c r="H257" s="41">
        <f t="shared" si="8"/>
        <v>1503455</v>
      </c>
      <c r="I257" s="41">
        <f t="shared" si="8"/>
        <v>70913</v>
      </c>
      <c r="J257" s="41">
        <f t="shared" si="8"/>
        <v>10534</v>
      </c>
      <c r="K257" s="41">
        <f t="shared" si="8"/>
        <v>3292</v>
      </c>
      <c r="L257" s="41">
        <f t="shared" si="8"/>
        <v>2359285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/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42102</v>
      </c>
      <c r="L263" s="19">
        <f>SUM(F263:K263)</f>
        <v>42102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/>
      <c r="L266" s="19">
        <f t="shared" si="9"/>
        <v>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>
        <v>927</v>
      </c>
      <c r="L268" s="19">
        <f t="shared" si="9"/>
        <v>927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43029</v>
      </c>
      <c r="L270" s="41">
        <f t="shared" si="9"/>
        <v>43029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537488</v>
      </c>
      <c r="G271" s="42">
        <f t="shared" si="11"/>
        <v>233603</v>
      </c>
      <c r="H271" s="42">
        <f t="shared" si="11"/>
        <v>1503455</v>
      </c>
      <c r="I271" s="42">
        <f t="shared" si="11"/>
        <v>70913</v>
      </c>
      <c r="J271" s="42">
        <f t="shared" si="11"/>
        <v>10534</v>
      </c>
      <c r="K271" s="42">
        <f t="shared" si="11"/>
        <v>46321</v>
      </c>
      <c r="L271" s="42">
        <f t="shared" si="11"/>
        <v>2402314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21503</v>
      </c>
      <c r="G276" s="18">
        <v>1836</v>
      </c>
      <c r="H276" s="18"/>
      <c r="I276" s="18">
        <v>4603</v>
      </c>
      <c r="J276" s="18"/>
      <c r="K276" s="18"/>
      <c r="L276" s="19">
        <f>SUM(F276:K276)</f>
        <v>27942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f>1800+1638</f>
        <v>3438</v>
      </c>
      <c r="G282" s="18">
        <f>449+357</f>
        <v>806</v>
      </c>
      <c r="H282" s="18">
        <f>3500+273+1685</f>
        <v>5458</v>
      </c>
      <c r="I282" s="18">
        <v>70</v>
      </c>
      <c r="J282" s="18"/>
      <c r="K282" s="18"/>
      <c r="L282" s="19">
        <f t="shared" si="12"/>
        <v>9772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>
        <v>814</v>
      </c>
      <c r="L283" s="19">
        <f t="shared" si="12"/>
        <v>814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>
        <f>2077-1</f>
        <v>2076</v>
      </c>
      <c r="L284" s="19">
        <f t="shared" si="12"/>
        <v>2076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24941</v>
      </c>
      <c r="G290" s="42">
        <f t="shared" si="13"/>
        <v>2642</v>
      </c>
      <c r="H290" s="42">
        <f t="shared" si="13"/>
        <v>5458</v>
      </c>
      <c r="I290" s="42">
        <f t="shared" si="13"/>
        <v>4673</v>
      </c>
      <c r="J290" s="42">
        <f t="shared" si="13"/>
        <v>0</v>
      </c>
      <c r="K290" s="42">
        <f t="shared" si="13"/>
        <v>2890</v>
      </c>
      <c r="L290" s="41">
        <f t="shared" si="13"/>
        <v>40604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24941</v>
      </c>
      <c r="G338" s="41">
        <f t="shared" si="20"/>
        <v>2642</v>
      </c>
      <c r="H338" s="41">
        <f t="shared" si="20"/>
        <v>5458</v>
      </c>
      <c r="I338" s="41">
        <f t="shared" si="20"/>
        <v>4673</v>
      </c>
      <c r="J338" s="41">
        <f t="shared" si="20"/>
        <v>0</v>
      </c>
      <c r="K338" s="41">
        <f t="shared" si="20"/>
        <v>2890</v>
      </c>
      <c r="L338" s="41">
        <f t="shared" si="20"/>
        <v>40604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24941</v>
      </c>
      <c r="G352" s="41">
        <f>G338</f>
        <v>2642</v>
      </c>
      <c r="H352" s="41">
        <f>H338</f>
        <v>5458</v>
      </c>
      <c r="I352" s="41">
        <f>I338</f>
        <v>4673</v>
      </c>
      <c r="J352" s="41">
        <f>J338</f>
        <v>0</v>
      </c>
      <c r="K352" s="47">
        <f>K338+K351</f>
        <v>2890</v>
      </c>
      <c r="L352" s="41">
        <f>L338+L351</f>
        <v>40604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f>5426-1</f>
        <v>5425</v>
      </c>
      <c r="G358" s="18">
        <v>450</v>
      </c>
      <c r="H358" s="18">
        <f>58224+815</f>
        <v>59039</v>
      </c>
      <c r="I358" s="18"/>
      <c r="J358" s="18">
        <v>2229</v>
      </c>
      <c r="K358" s="18">
        <v>1168</v>
      </c>
      <c r="L358" s="13">
        <f>SUM(F358:K358)</f>
        <v>68311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5425</v>
      </c>
      <c r="G362" s="47">
        <f t="shared" si="22"/>
        <v>450</v>
      </c>
      <c r="H362" s="47">
        <f t="shared" si="22"/>
        <v>59039</v>
      </c>
      <c r="I362" s="47">
        <f t="shared" si="22"/>
        <v>0</v>
      </c>
      <c r="J362" s="47">
        <f t="shared" si="22"/>
        <v>2229</v>
      </c>
      <c r="K362" s="47">
        <f t="shared" si="22"/>
        <v>1168</v>
      </c>
      <c r="L362" s="47">
        <f t="shared" si="22"/>
        <v>68311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/>
      <c r="G367" s="18"/>
      <c r="H367" s="18"/>
      <c r="I367" s="56">
        <f>SUM(F367:H367)</f>
        <v>0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/>
      <c r="G368" s="63"/>
      <c r="H368" s="63"/>
      <c r="I368" s="56">
        <f>SUM(F368:H368)</f>
        <v>0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>
        <v>18</v>
      </c>
      <c r="I396" s="18"/>
      <c r="J396" s="24" t="s">
        <v>286</v>
      </c>
      <c r="K396" s="24" t="s">
        <v>286</v>
      </c>
      <c r="L396" s="56">
        <f t="shared" si="26"/>
        <v>18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>
        <v>28</v>
      </c>
      <c r="I397" s="18"/>
      <c r="J397" s="24" t="s">
        <v>286</v>
      </c>
      <c r="K397" s="24" t="s">
        <v>286</v>
      </c>
      <c r="L397" s="56">
        <f t="shared" si="26"/>
        <v>28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>
        <v>19</v>
      </c>
      <c r="I398" s="18"/>
      <c r="J398" s="24" t="s">
        <v>286</v>
      </c>
      <c r="K398" s="24" t="s">
        <v>286</v>
      </c>
      <c r="L398" s="56">
        <f t="shared" si="26"/>
        <v>19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65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65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65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65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>
        <v>6740</v>
      </c>
      <c r="L422" s="56">
        <f t="shared" si="29"/>
        <v>6740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>
        <v>20777</v>
      </c>
      <c r="L423" s="56">
        <f t="shared" si="29"/>
        <v>20777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>
        <v>5777</v>
      </c>
      <c r="L424" s="56">
        <f t="shared" si="29"/>
        <v>5777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33294</v>
      </c>
      <c r="L427" s="47">
        <f t="shared" si="30"/>
        <v>33294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33294</v>
      </c>
      <c r="L434" s="47">
        <f t="shared" si="32"/>
        <v>33294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>
        <v>127266</v>
      </c>
      <c r="H442" s="18"/>
      <c r="I442" s="56">
        <f t="shared" si="33"/>
        <v>127266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127266</v>
      </c>
      <c r="H446" s="13">
        <f>SUM(H439:H445)</f>
        <v>0</v>
      </c>
      <c r="I446" s="13">
        <f>SUM(I439:I445)</f>
        <v>127266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>
        <f>15000+11554</f>
        <v>26554</v>
      </c>
      <c r="H448" s="18"/>
      <c r="I448" s="56">
        <f>SUM(F448:H448)</f>
        <v>26554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26554</v>
      </c>
      <c r="H452" s="72">
        <f>SUM(H448:H451)</f>
        <v>0</v>
      </c>
      <c r="I452" s="72">
        <f>SUM(I448:I451)</f>
        <v>26554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>
        <v>100712</v>
      </c>
      <c r="H459" s="18"/>
      <c r="I459" s="56">
        <f t="shared" si="34"/>
        <v>100712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100712</v>
      </c>
      <c r="H460" s="83">
        <f>SUM(H454:H459)</f>
        <v>0</v>
      </c>
      <c r="I460" s="83">
        <f>SUM(I454:I459)</f>
        <v>100712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127266</v>
      </c>
      <c r="H461" s="42">
        <f>H452+H460</f>
        <v>0</v>
      </c>
      <c r="I461" s="42">
        <f>I452+I460</f>
        <v>127266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f>275+14805+3</f>
        <v>15083</v>
      </c>
      <c r="G465" s="18">
        <v>0</v>
      </c>
      <c r="H465" s="18">
        <v>1199</v>
      </c>
      <c r="I465" s="18"/>
      <c r="J465" s="18">
        <v>133941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2387956</v>
      </c>
      <c r="G468" s="18">
        <f>71115-2804</f>
        <v>68311</v>
      </c>
      <c r="H468" s="18">
        <v>40604</v>
      </c>
      <c r="I468" s="18"/>
      <c r="J468" s="18">
        <v>65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2387956</v>
      </c>
      <c r="G470" s="53">
        <f>SUM(G468:G469)</f>
        <v>68311</v>
      </c>
      <c r="H470" s="53">
        <f>SUM(H468:H469)</f>
        <v>40604</v>
      </c>
      <c r="I470" s="53">
        <f>SUM(I468:I469)</f>
        <v>0</v>
      </c>
      <c r="J470" s="53">
        <f>SUM(J468:J469)</f>
        <v>65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2402314</v>
      </c>
      <c r="G472" s="18">
        <f>71115-2804</f>
        <v>68311</v>
      </c>
      <c r="H472" s="18">
        <v>40604</v>
      </c>
      <c r="I472" s="18"/>
      <c r="J472" s="18">
        <v>33294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2402314</v>
      </c>
      <c r="G474" s="53">
        <f>SUM(G472:G473)</f>
        <v>68311</v>
      </c>
      <c r="H474" s="53">
        <f>SUM(H472:H473)</f>
        <v>40604</v>
      </c>
      <c r="I474" s="53">
        <f>SUM(I472:I473)</f>
        <v>0</v>
      </c>
      <c r="J474" s="53">
        <f>SUM(J472:J473)</f>
        <v>33294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725</v>
      </c>
      <c r="G476" s="53">
        <f>(G465+G470)- G474</f>
        <v>0</v>
      </c>
      <c r="H476" s="53">
        <f>(H465+H470)- H474</f>
        <v>1199</v>
      </c>
      <c r="I476" s="53">
        <f>(I465+I470)- I474</f>
        <v>0</v>
      </c>
      <c r="J476" s="53">
        <f>(J465+J470)- J474</f>
        <v>100712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77989</v>
      </c>
      <c r="G521" s="18">
        <v>41720</v>
      </c>
      <c r="H521" s="18">
        <v>15998</v>
      </c>
      <c r="I521" s="18">
        <v>368</v>
      </c>
      <c r="J521" s="18"/>
      <c r="K521" s="18">
        <v>125</v>
      </c>
      <c r="L521" s="88">
        <f>SUM(F521:K521)</f>
        <v>136200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>
        <v>28489</v>
      </c>
      <c r="I522" s="18"/>
      <c r="J522" s="18"/>
      <c r="K522" s="18"/>
      <c r="L522" s="88">
        <f>SUM(F522:K522)</f>
        <v>28489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>
        <f>12630+69648</f>
        <v>82278</v>
      </c>
      <c r="I523" s="18"/>
      <c r="J523" s="18"/>
      <c r="K523" s="18"/>
      <c r="L523" s="88">
        <f>SUM(F523:K523)</f>
        <v>82278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77989</v>
      </c>
      <c r="G524" s="108">
        <f t="shared" ref="G524:L524" si="36">SUM(G521:G523)</f>
        <v>41720</v>
      </c>
      <c r="H524" s="108">
        <f t="shared" si="36"/>
        <v>126765</v>
      </c>
      <c r="I524" s="108">
        <f t="shared" si="36"/>
        <v>368</v>
      </c>
      <c r="J524" s="108">
        <f t="shared" si="36"/>
        <v>0</v>
      </c>
      <c r="K524" s="108">
        <f t="shared" si="36"/>
        <v>125</v>
      </c>
      <c r="L524" s="89">
        <f t="shared" si="36"/>
        <v>246967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/>
      <c r="G526" s="18"/>
      <c r="H526" s="18">
        <v>23559</v>
      </c>
      <c r="I526" s="18">
        <v>183</v>
      </c>
      <c r="J526" s="18"/>
      <c r="K526" s="18"/>
      <c r="L526" s="88">
        <f>SUM(F526:K526)</f>
        <v>23742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>
        <v>4585</v>
      </c>
      <c r="I527" s="18"/>
      <c r="J527" s="18"/>
      <c r="K527" s="18"/>
      <c r="L527" s="88">
        <f>SUM(F527:K527)</f>
        <v>4585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>
        <v>508</v>
      </c>
      <c r="I528" s="18"/>
      <c r="J528" s="18"/>
      <c r="K528" s="18"/>
      <c r="L528" s="88">
        <f>SUM(F528:K528)</f>
        <v>508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28652</v>
      </c>
      <c r="I529" s="89">
        <f t="shared" si="37"/>
        <v>183</v>
      </c>
      <c r="J529" s="89">
        <f t="shared" si="37"/>
        <v>0</v>
      </c>
      <c r="K529" s="89">
        <f t="shared" si="37"/>
        <v>0</v>
      </c>
      <c r="L529" s="89">
        <f t="shared" si="37"/>
        <v>28835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/>
      <c r="G531" s="18"/>
      <c r="H531" s="18">
        <v>17521</v>
      </c>
      <c r="I531" s="18"/>
      <c r="J531" s="18"/>
      <c r="K531" s="18"/>
      <c r="L531" s="88">
        <f>SUM(F531:K531)</f>
        <v>17521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>
        <v>4088</v>
      </c>
      <c r="I532" s="18"/>
      <c r="J532" s="18"/>
      <c r="K532" s="18"/>
      <c r="L532" s="88">
        <f>SUM(F532:K532)</f>
        <v>4088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>
        <v>7593</v>
      </c>
      <c r="I533" s="18"/>
      <c r="J533" s="18"/>
      <c r="K533" s="18"/>
      <c r="L533" s="88">
        <f>SUM(F533:K533)</f>
        <v>7593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29202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29202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139</v>
      </c>
      <c r="I541" s="18"/>
      <c r="J541" s="18"/>
      <c r="K541" s="18"/>
      <c r="L541" s="88">
        <f>SUM(F541:K541)</f>
        <v>139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>
        <v>1935</v>
      </c>
      <c r="I542" s="18"/>
      <c r="J542" s="18"/>
      <c r="K542" s="18"/>
      <c r="L542" s="88">
        <f>SUM(F542:K542)</f>
        <v>1935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682</v>
      </c>
      <c r="I543" s="18"/>
      <c r="J543" s="18"/>
      <c r="K543" s="18"/>
      <c r="L543" s="88">
        <f>SUM(F543:K543)</f>
        <v>682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2756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2756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77989</v>
      </c>
      <c r="G545" s="89">
        <f t="shared" ref="G545:L545" si="41">G524+G529+G534+G539+G544</f>
        <v>41720</v>
      </c>
      <c r="H545" s="89">
        <f t="shared" si="41"/>
        <v>187375</v>
      </c>
      <c r="I545" s="89">
        <f t="shared" si="41"/>
        <v>551</v>
      </c>
      <c r="J545" s="89">
        <f t="shared" si="41"/>
        <v>0</v>
      </c>
      <c r="K545" s="89">
        <f t="shared" si="41"/>
        <v>125</v>
      </c>
      <c r="L545" s="89">
        <f t="shared" si="41"/>
        <v>307760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136200</v>
      </c>
      <c r="G549" s="87">
        <f>L526</f>
        <v>23742</v>
      </c>
      <c r="H549" s="87">
        <f>L531</f>
        <v>17521</v>
      </c>
      <c r="I549" s="87">
        <f>L536</f>
        <v>0</v>
      </c>
      <c r="J549" s="87">
        <f>L541</f>
        <v>139</v>
      </c>
      <c r="K549" s="87">
        <f>SUM(F549:J549)</f>
        <v>177602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28489</v>
      </c>
      <c r="G550" s="87">
        <f>L527</f>
        <v>4585</v>
      </c>
      <c r="H550" s="87">
        <f>L532</f>
        <v>4088</v>
      </c>
      <c r="I550" s="87">
        <f>L537</f>
        <v>0</v>
      </c>
      <c r="J550" s="87">
        <f>L542</f>
        <v>1935</v>
      </c>
      <c r="K550" s="87">
        <f>SUM(F550:J550)</f>
        <v>39097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82278</v>
      </c>
      <c r="G551" s="87">
        <f>L528</f>
        <v>508</v>
      </c>
      <c r="H551" s="87">
        <f>L533</f>
        <v>7593</v>
      </c>
      <c r="I551" s="87">
        <f>L538</f>
        <v>0</v>
      </c>
      <c r="J551" s="87">
        <f>L543</f>
        <v>682</v>
      </c>
      <c r="K551" s="87">
        <f>SUM(F551:J551)</f>
        <v>91061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246967</v>
      </c>
      <c r="G552" s="89">
        <f t="shared" si="42"/>
        <v>28835</v>
      </c>
      <c r="H552" s="89">
        <f t="shared" si="42"/>
        <v>29202</v>
      </c>
      <c r="I552" s="89">
        <f t="shared" si="42"/>
        <v>0</v>
      </c>
      <c r="J552" s="89">
        <f t="shared" si="42"/>
        <v>2756</v>
      </c>
      <c r="K552" s="89">
        <f t="shared" si="42"/>
        <v>307760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>
        <v>312576</v>
      </c>
      <c r="H575" s="18">
        <v>359653</v>
      </c>
      <c r="I575" s="87">
        <f>SUM(F575:H575)</f>
        <v>672229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>
        <v>202620</v>
      </c>
      <c r="I576" s="87">
        <f t="shared" ref="I576:I587" si="47">SUM(F576:H576)</f>
        <v>202620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>
        <v>9463</v>
      </c>
      <c r="H579" s="18"/>
      <c r="I579" s="87">
        <f t="shared" si="47"/>
        <v>9463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>
        <v>952</v>
      </c>
      <c r="I580" s="87">
        <f t="shared" si="47"/>
        <v>952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>
        <v>19025</v>
      </c>
      <c r="H582" s="18">
        <v>68696</v>
      </c>
      <c r="I582" s="87">
        <f t="shared" si="47"/>
        <v>87721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>
        <v>44400</v>
      </c>
      <c r="I585" s="87">
        <f t="shared" si="47"/>
        <v>44400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66588</v>
      </c>
      <c r="I591" s="18">
        <v>15589</v>
      </c>
      <c r="J591" s="18">
        <v>29172</v>
      </c>
      <c r="K591" s="104">
        <f t="shared" ref="K591:K597" si="48">SUM(H591:J591)</f>
        <v>111349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139</v>
      </c>
      <c r="I592" s="18">
        <v>1934</v>
      </c>
      <c r="J592" s="18">
        <v>682</v>
      </c>
      <c r="K592" s="104">
        <f t="shared" si="48"/>
        <v>2755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>
        <v>2723</v>
      </c>
      <c r="K593" s="104">
        <f t="shared" si="48"/>
        <v>2723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1039</v>
      </c>
      <c r="I595" s="18"/>
      <c r="J595" s="18"/>
      <c r="K595" s="104">
        <f t="shared" si="48"/>
        <v>1039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67766</v>
      </c>
      <c r="I598" s="108">
        <f>SUM(I591:I597)</f>
        <v>17523</v>
      </c>
      <c r="J598" s="108">
        <f>SUM(J591:J597)</f>
        <v>32577</v>
      </c>
      <c r="K598" s="108">
        <f>SUM(K591:K597)</f>
        <v>117866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10534</v>
      </c>
      <c r="I604" s="18"/>
      <c r="J604" s="18"/>
      <c r="K604" s="104">
        <f>SUM(H604:J604)</f>
        <v>10534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10534</v>
      </c>
      <c r="I605" s="108">
        <f>SUM(I602:I604)</f>
        <v>0</v>
      </c>
      <c r="J605" s="108">
        <f>SUM(J602:J604)</f>
        <v>0</v>
      </c>
      <c r="K605" s="108">
        <f>SUM(K602:K604)</f>
        <v>10534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v>3510</v>
      </c>
      <c r="G611" s="18">
        <v>878</v>
      </c>
      <c r="H611" s="18"/>
      <c r="I611" s="18"/>
      <c r="J611" s="18"/>
      <c r="K611" s="18"/>
      <c r="L611" s="88">
        <f>SUM(F611:K611)</f>
        <v>4388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3510</v>
      </c>
      <c r="G614" s="108">
        <f t="shared" si="49"/>
        <v>878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4388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42386</v>
      </c>
      <c r="H617" s="109">
        <f>SUM(F52)</f>
        <v>42386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1694</v>
      </c>
      <c r="H618" s="109">
        <f>SUM(G52)</f>
        <v>1694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7356</v>
      </c>
      <c r="H619" s="109">
        <f>SUM(H52)</f>
        <v>7356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127266</v>
      </c>
      <c r="H621" s="109">
        <f>SUM(J52)</f>
        <v>127266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725</v>
      </c>
      <c r="H622" s="109">
        <f>F476</f>
        <v>725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1199</v>
      </c>
      <c r="H624" s="109">
        <f>H476</f>
        <v>1199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100712</v>
      </c>
      <c r="H626" s="109">
        <f>J476</f>
        <v>100712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2387956</v>
      </c>
      <c r="H627" s="104">
        <f>SUM(F468)</f>
        <v>2387956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68311</v>
      </c>
      <c r="H628" s="104">
        <f>SUM(G468)</f>
        <v>68311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40604</v>
      </c>
      <c r="H629" s="104">
        <f>SUM(H468)</f>
        <v>40604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65</v>
      </c>
      <c r="H631" s="104">
        <f>SUM(J468)</f>
        <v>65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2402314</v>
      </c>
      <c r="H632" s="104">
        <f>SUM(F472)</f>
        <v>2402314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40604</v>
      </c>
      <c r="H633" s="104">
        <f>SUM(H472)</f>
        <v>40604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68311</v>
      </c>
      <c r="H635" s="104">
        <f>SUM(G472)</f>
        <v>68311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65</v>
      </c>
      <c r="H637" s="164">
        <f>SUM(J468)</f>
        <v>65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33294</v>
      </c>
      <c r="H638" s="164">
        <f>SUM(J472)</f>
        <v>33294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127266</v>
      </c>
      <c r="H640" s="104">
        <f>SUM(G461)</f>
        <v>127266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127266</v>
      </c>
      <c r="H642" s="104">
        <f>SUM(I461)</f>
        <v>127266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65</v>
      </c>
      <c r="H644" s="104">
        <f>H408</f>
        <v>65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0</v>
      </c>
      <c r="H645" s="104">
        <f>G408</f>
        <v>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65</v>
      </c>
      <c r="H646" s="104">
        <f>L408</f>
        <v>65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117866</v>
      </c>
      <c r="H647" s="104">
        <f>L208+L226+L244</f>
        <v>117866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10534</v>
      </c>
      <c r="H648" s="104">
        <f>(J257+J338)-(J255+J336)</f>
        <v>10534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67766</v>
      </c>
      <c r="H649" s="104">
        <f>H598</f>
        <v>67766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17523</v>
      </c>
      <c r="H650" s="104">
        <f>I598</f>
        <v>17523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32577</v>
      </c>
      <c r="H651" s="104">
        <f>J598</f>
        <v>32577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42102</v>
      </c>
      <c r="H652" s="104">
        <f>K263+K345</f>
        <v>42102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0</v>
      </c>
      <c r="H655" s="104">
        <f>K266+K347</f>
        <v>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1316084</v>
      </c>
      <c r="G660" s="19">
        <f>(L229+L309+L359)</f>
        <v>386514</v>
      </c>
      <c r="H660" s="19">
        <f>(L247+L328+L360)</f>
        <v>765602</v>
      </c>
      <c r="I660" s="19">
        <f>SUM(F660:H660)</f>
        <v>2468200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11534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11534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67766</v>
      </c>
      <c r="G662" s="19">
        <f>(L226+L306)-(J226+J306)</f>
        <v>17523</v>
      </c>
      <c r="H662" s="19">
        <f>(L244+L325)-(J244+J325)</f>
        <v>32577</v>
      </c>
      <c r="I662" s="19">
        <f>SUM(F662:H662)</f>
        <v>117866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14922</v>
      </c>
      <c r="G663" s="199">
        <f>SUM(G575:G587)+SUM(I602:I604)+L612</f>
        <v>341064</v>
      </c>
      <c r="H663" s="199">
        <f>SUM(H575:H587)+SUM(J602:J604)+L613</f>
        <v>676321</v>
      </c>
      <c r="I663" s="19">
        <f>SUM(F663:H663)</f>
        <v>1032307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1221862</v>
      </c>
      <c r="G664" s="19">
        <f>G660-SUM(G661:G663)</f>
        <v>27927</v>
      </c>
      <c r="H664" s="19">
        <f>H660-SUM(H661:H663)</f>
        <v>56704</v>
      </c>
      <c r="I664" s="19">
        <f>I660-SUM(I661:I663)</f>
        <v>1306493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78.13</v>
      </c>
      <c r="G665" s="248"/>
      <c r="H665" s="248"/>
      <c r="I665" s="19">
        <f>SUM(F665:H665)</f>
        <v>78.13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15638.83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16722.04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>
        <v>-27927</v>
      </c>
      <c r="H669" s="18">
        <v>-56704</v>
      </c>
      <c r="I669" s="19">
        <f>SUM(F669:H669)</f>
        <v>-84631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15638.83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15638.83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16" workbookViewId="0">
      <selection activeCell="C37" sqref="C37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BATH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336514</v>
      </c>
      <c r="C9" s="229">
        <f>'DOE25'!G197+'DOE25'!G215+'DOE25'!G233+'DOE25'!G276+'DOE25'!G295+'DOE25'!G314</f>
        <v>131633</v>
      </c>
    </row>
    <row r="10" spans="1:3" x14ac:dyDescent="0.2">
      <c r="A10" t="s">
        <v>773</v>
      </c>
      <c r="B10" s="240">
        <v>330900</v>
      </c>
      <c r="C10" s="240">
        <v>131204</v>
      </c>
    </row>
    <row r="11" spans="1:3" x14ac:dyDescent="0.2">
      <c r="A11" t="s">
        <v>774</v>
      </c>
      <c r="B11" s="240">
        <v>0</v>
      </c>
      <c r="C11" s="240"/>
    </row>
    <row r="12" spans="1:3" x14ac:dyDescent="0.2">
      <c r="A12" t="s">
        <v>775</v>
      </c>
      <c r="B12" s="240">
        <v>5614</v>
      </c>
      <c r="C12" s="240">
        <v>429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336514</v>
      </c>
      <c r="C13" s="231">
        <f>SUM(C10:C12)</f>
        <v>131633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77989</v>
      </c>
      <c r="C18" s="229">
        <f>'DOE25'!G198+'DOE25'!G216+'DOE25'!G234+'DOE25'!G277+'DOE25'!G296+'DOE25'!G315</f>
        <v>41720</v>
      </c>
    </row>
    <row r="19" spans="1:3" x14ac:dyDescent="0.2">
      <c r="A19" t="s">
        <v>773</v>
      </c>
      <c r="B19" s="240">
        <v>46202</v>
      </c>
      <c r="C19" s="240">
        <v>22499</v>
      </c>
    </row>
    <row r="20" spans="1:3" x14ac:dyDescent="0.2">
      <c r="A20" t="s">
        <v>774</v>
      </c>
      <c r="B20" s="240">
        <v>31657</v>
      </c>
      <c r="C20" s="240">
        <v>19122</v>
      </c>
    </row>
    <row r="21" spans="1:3" x14ac:dyDescent="0.2">
      <c r="A21" t="s">
        <v>775</v>
      </c>
      <c r="B21" s="240">
        <v>130</v>
      </c>
      <c r="C21" s="240">
        <v>99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77989</v>
      </c>
      <c r="C22" s="231">
        <f>SUM(C19:C21)</f>
        <v>41720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3510</v>
      </c>
      <c r="C36" s="235">
        <f>'DOE25'!G200+'DOE25'!G218+'DOE25'!G236+'DOE25'!G279+'DOE25'!G298+'DOE25'!G317</f>
        <v>878</v>
      </c>
    </row>
    <row r="37" spans="1:3" x14ac:dyDescent="0.2">
      <c r="A37" t="s">
        <v>773</v>
      </c>
      <c r="B37" s="240">
        <v>3510</v>
      </c>
      <c r="C37" s="240">
        <v>878</v>
      </c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3510</v>
      </c>
      <c r="C40" s="231">
        <f>SUM(C37:C39)</f>
        <v>878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11" activePane="bottomLeft" state="frozen"/>
      <selection activeCell="F46" sqref="F46"/>
      <selection pane="bottomLeft" activeCell="D39" sqref="D3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BATH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1683196</v>
      </c>
      <c r="D5" s="20">
        <f>SUM('DOE25'!L197:L200)+SUM('DOE25'!L215:L218)+SUM('DOE25'!L233:L236)-F5-G5</f>
        <v>1682440</v>
      </c>
      <c r="E5" s="243"/>
      <c r="F5" s="255">
        <f>SUM('DOE25'!J197:J200)+SUM('DOE25'!J215:J218)+SUM('DOE25'!J233:J236)</f>
        <v>158</v>
      </c>
      <c r="G5" s="53">
        <f>SUM('DOE25'!K197:K200)+SUM('DOE25'!K215:K218)+SUM('DOE25'!K233:K236)</f>
        <v>598</v>
      </c>
      <c r="H5" s="259"/>
    </row>
    <row r="6" spans="1:9" x14ac:dyDescent="0.2">
      <c r="A6" s="32">
        <v>2100</v>
      </c>
      <c r="B6" t="s">
        <v>795</v>
      </c>
      <c r="C6" s="245">
        <f t="shared" si="0"/>
        <v>63724</v>
      </c>
      <c r="D6" s="20">
        <f>'DOE25'!L202+'DOE25'!L220+'DOE25'!L238-F6-G6</f>
        <v>63618</v>
      </c>
      <c r="E6" s="243"/>
      <c r="F6" s="255">
        <f>'DOE25'!J202+'DOE25'!J220+'DOE25'!J238</f>
        <v>0</v>
      </c>
      <c r="G6" s="53">
        <f>'DOE25'!K202+'DOE25'!K220+'DOE25'!K238</f>
        <v>106</v>
      </c>
      <c r="H6" s="259"/>
    </row>
    <row r="7" spans="1:9" x14ac:dyDescent="0.2">
      <c r="A7" s="32">
        <v>2200</v>
      </c>
      <c r="B7" t="s">
        <v>828</v>
      </c>
      <c r="C7" s="245">
        <f t="shared" si="0"/>
        <v>10500</v>
      </c>
      <c r="D7" s="20">
        <f>'DOE25'!L203+'DOE25'!L221+'DOE25'!L239-F7-G7</f>
        <v>9263</v>
      </c>
      <c r="E7" s="243"/>
      <c r="F7" s="255">
        <f>'DOE25'!J203+'DOE25'!J221+'DOE25'!J239</f>
        <v>1237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129384</v>
      </c>
      <c r="D8" s="243"/>
      <c r="E8" s="20">
        <f>'DOE25'!L204+'DOE25'!L222+'DOE25'!L240-F8-G8-D9-D11</f>
        <v>127161</v>
      </c>
      <c r="F8" s="255">
        <f>'DOE25'!J204+'DOE25'!J222+'DOE25'!J240</f>
        <v>0</v>
      </c>
      <c r="G8" s="53">
        <f>'DOE25'!K204+'DOE25'!K222+'DOE25'!K240</f>
        <v>2223</v>
      </c>
      <c r="H8" s="259"/>
    </row>
    <row r="9" spans="1:9" x14ac:dyDescent="0.2">
      <c r="A9" s="32">
        <v>2310</v>
      </c>
      <c r="B9" t="s">
        <v>812</v>
      </c>
      <c r="C9" s="245">
        <f t="shared" si="0"/>
        <v>7018</v>
      </c>
      <c r="D9" s="244">
        <v>7018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7750</v>
      </c>
      <c r="D10" s="243"/>
      <c r="E10" s="244">
        <v>7750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30440</v>
      </c>
      <c r="D11" s="244">
        <v>30440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145174</v>
      </c>
      <c r="D12" s="20">
        <f>'DOE25'!L205+'DOE25'!L223+'DOE25'!L241-F12-G12</f>
        <v>142573</v>
      </c>
      <c r="E12" s="243"/>
      <c r="F12" s="255">
        <f>'DOE25'!J205+'DOE25'!J223+'DOE25'!J241</f>
        <v>2362</v>
      </c>
      <c r="G12" s="53">
        <f>'DOE25'!K205+'DOE25'!K223+'DOE25'!K241</f>
        <v>239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101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101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156762</v>
      </c>
      <c r="D14" s="20">
        <f>'DOE25'!L207+'DOE25'!L225+'DOE25'!L243-F14-G14</f>
        <v>156474</v>
      </c>
      <c r="E14" s="243"/>
      <c r="F14" s="255">
        <f>'DOE25'!J207+'DOE25'!J225+'DOE25'!J243</f>
        <v>263</v>
      </c>
      <c r="G14" s="53">
        <f>'DOE25'!K207+'DOE25'!K225+'DOE25'!K243</f>
        <v>25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117866</v>
      </c>
      <c r="D15" s="20">
        <f>'DOE25'!L208+'DOE25'!L226+'DOE25'!L244-F15-G15</f>
        <v>117866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15120</v>
      </c>
      <c r="D16" s="243"/>
      <c r="E16" s="20">
        <f>'DOE25'!L209+'DOE25'!L227+'DOE25'!L245-F16-G16</f>
        <v>8606</v>
      </c>
      <c r="F16" s="255">
        <f>'DOE25'!J209+'DOE25'!J227+'DOE25'!J245</f>
        <v>6514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68311</v>
      </c>
      <c r="D29" s="20">
        <f>'DOE25'!L358+'DOE25'!L359+'DOE25'!L360-'DOE25'!I367-F29-G29</f>
        <v>64914</v>
      </c>
      <c r="E29" s="243"/>
      <c r="F29" s="255">
        <f>'DOE25'!J358+'DOE25'!J359+'DOE25'!J360</f>
        <v>2229</v>
      </c>
      <c r="G29" s="53">
        <f>'DOE25'!K358+'DOE25'!K359+'DOE25'!K360</f>
        <v>1168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40604</v>
      </c>
      <c r="D31" s="20">
        <f>'DOE25'!L290+'DOE25'!L309+'DOE25'!L328+'DOE25'!L333+'DOE25'!L334+'DOE25'!L335-F31-G31</f>
        <v>37714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2890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2312320</v>
      </c>
      <c r="E33" s="246">
        <f>SUM(E5:E31)</f>
        <v>143517</v>
      </c>
      <c r="F33" s="246">
        <f>SUM(F5:F31)</f>
        <v>12763</v>
      </c>
      <c r="G33" s="246">
        <f>SUM(G5:G31)</f>
        <v>7350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143517</v>
      </c>
      <c r="E35" s="249"/>
    </row>
    <row r="36" spans="2:8" ht="12" thickTop="1" x14ac:dyDescent="0.2">
      <c r="B36" t="s">
        <v>809</v>
      </c>
      <c r="D36" s="20">
        <f>D33</f>
        <v>2312320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15" activePane="bottomLeft" state="frozen"/>
      <selection activeCell="F46" sqref="F46"/>
      <selection pane="bottomLeft" activeCell="A2" sqref="A2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BATH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-4156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4292</v>
      </c>
      <c r="D11" s="95">
        <f>'DOE25'!G12</f>
        <v>1143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29475</v>
      </c>
      <c r="D12" s="95">
        <f>'DOE25'!G13</f>
        <v>0</v>
      </c>
      <c r="E12" s="95">
        <f>'DOE25'!H13</f>
        <v>7356</v>
      </c>
      <c r="F12" s="95">
        <f>'DOE25'!I13</f>
        <v>0</v>
      </c>
      <c r="G12" s="95">
        <f>'DOE25'!J13</f>
        <v>127266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12050</v>
      </c>
      <c r="D13" s="95">
        <f>'DOE25'!G14</f>
        <v>551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725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42386</v>
      </c>
      <c r="D18" s="41">
        <f>SUM(D8:D17)</f>
        <v>1694</v>
      </c>
      <c r="E18" s="41">
        <f>SUM(E8:E17)</f>
        <v>7356</v>
      </c>
      <c r="F18" s="41">
        <f>SUM(F8:F17)</f>
        <v>0</v>
      </c>
      <c r="G18" s="41">
        <f>SUM(G8:G17)</f>
        <v>127266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5433</v>
      </c>
      <c r="F21" s="95">
        <f>'DOE25'!I22</f>
        <v>0</v>
      </c>
      <c r="G21" s="95">
        <f>'DOE25'!J22</f>
        <v>26554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40751</v>
      </c>
      <c r="D23" s="95">
        <f>'DOE25'!G24</f>
        <v>1694</v>
      </c>
      <c r="E23" s="95">
        <f>'DOE25'!H24</f>
        <v>273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910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451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41661</v>
      </c>
      <c r="D31" s="41">
        <f>SUM(D21:D30)</f>
        <v>1694</v>
      </c>
      <c r="E31" s="41">
        <f>SUM(E21:E30)</f>
        <v>6157</v>
      </c>
      <c r="F31" s="41">
        <f>SUM(F21:F30)</f>
        <v>0</v>
      </c>
      <c r="G31" s="41">
        <f>SUM(G21:G30)</f>
        <v>26554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725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1199</v>
      </c>
      <c r="F47" s="95">
        <f>'DOE25'!I48</f>
        <v>0</v>
      </c>
      <c r="G47" s="95">
        <f>'DOE25'!J48</f>
        <v>100712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0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725</v>
      </c>
      <c r="D50" s="41">
        <f>SUM(D34:D49)</f>
        <v>0</v>
      </c>
      <c r="E50" s="41">
        <f>SUM(E34:E49)</f>
        <v>1199</v>
      </c>
      <c r="F50" s="41">
        <f>SUM(F34:F49)</f>
        <v>0</v>
      </c>
      <c r="G50" s="41">
        <f>SUM(G34:G49)</f>
        <v>100712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42386</v>
      </c>
      <c r="D51" s="41">
        <f>D50+D31</f>
        <v>1694</v>
      </c>
      <c r="E51" s="41">
        <f>E50+E31</f>
        <v>7356</v>
      </c>
      <c r="F51" s="41">
        <f>F50+F31</f>
        <v>0</v>
      </c>
      <c r="G51" s="41">
        <f>G50+G31</f>
        <v>127266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1502602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10395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97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65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11201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5254</v>
      </c>
      <c r="D61" s="95">
        <f>SUM('DOE25'!G98:G110)</f>
        <v>333</v>
      </c>
      <c r="E61" s="95">
        <f>SUM('DOE25'!H98:H110)</f>
        <v>2336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15746</v>
      </c>
      <c r="D62" s="130">
        <f>SUM(D57:D61)</f>
        <v>11534</v>
      </c>
      <c r="E62" s="130">
        <f>SUM(E57:E61)</f>
        <v>2336</v>
      </c>
      <c r="F62" s="130">
        <f>SUM(F57:F61)</f>
        <v>0</v>
      </c>
      <c r="G62" s="130">
        <f>SUM(G57:G61)</f>
        <v>65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1518348</v>
      </c>
      <c r="D63" s="22">
        <f>D56+D62</f>
        <v>11534</v>
      </c>
      <c r="E63" s="22">
        <f>E56+E62</f>
        <v>2336</v>
      </c>
      <c r="F63" s="22">
        <f>F56+F62</f>
        <v>0</v>
      </c>
      <c r="G63" s="22">
        <f>G56+G62</f>
        <v>65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538433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276639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815072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0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3804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396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3804</v>
      </c>
      <c r="D78" s="130">
        <f>SUM(D72:D77)</f>
        <v>396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818876</v>
      </c>
      <c r="D81" s="130">
        <f>SUM(D79:D80)+D78+D70</f>
        <v>396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4603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17237</v>
      </c>
      <c r="D88" s="95">
        <f>SUM('DOE25'!G153:G161)</f>
        <v>14279</v>
      </c>
      <c r="E88" s="95">
        <f>SUM('DOE25'!H153:H161)</f>
        <v>33665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201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17438</v>
      </c>
      <c r="D91" s="131">
        <f>SUM(D85:D90)</f>
        <v>14279</v>
      </c>
      <c r="E91" s="131">
        <f>SUM(E85:E90)</f>
        <v>38268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42102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33294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33294</v>
      </c>
      <c r="D103" s="86">
        <f>SUM(D93:D102)</f>
        <v>42102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759</v>
      </c>
      <c r="C104" s="86">
        <f>C63+C81+C91+C103</f>
        <v>2387956</v>
      </c>
      <c r="D104" s="86">
        <f>D63+D81+D91+D103</f>
        <v>68311</v>
      </c>
      <c r="E104" s="86">
        <f>E63+E81+E91+E103</f>
        <v>40604</v>
      </c>
      <c r="F104" s="86">
        <f>F63+F81+F91+F103</f>
        <v>0</v>
      </c>
      <c r="G104" s="86">
        <f>G63+G81+G103</f>
        <v>65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1386454</v>
      </c>
      <c r="D109" s="24" t="s">
        <v>286</v>
      </c>
      <c r="E109" s="95">
        <f>('DOE25'!L276)+('DOE25'!L295)+('DOE25'!L314)</f>
        <v>27942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246966</v>
      </c>
      <c r="D110" s="24" t="s">
        <v>286</v>
      </c>
      <c r="E110" s="95">
        <f>('DOE25'!L277)+('DOE25'!L296)+('DOE25'!L315)</f>
        <v>0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44400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5376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1683196</v>
      </c>
      <c r="D115" s="86">
        <f>SUM(D109:D114)</f>
        <v>0</v>
      </c>
      <c r="E115" s="86">
        <f>SUM(E109:E114)</f>
        <v>27942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63724</v>
      </c>
      <c r="D118" s="24" t="s">
        <v>286</v>
      </c>
      <c r="E118" s="95">
        <f>+('DOE25'!L281)+('DOE25'!L300)+('DOE25'!L319)</f>
        <v>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10500</v>
      </c>
      <c r="D119" s="24" t="s">
        <v>286</v>
      </c>
      <c r="E119" s="95">
        <f>+('DOE25'!L282)+('DOE25'!L301)+('DOE25'!L320)</f>
        <v>9772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166842</v>
      </c>
      <c r="D120" s="24" t="s">
        <v>286</v>
      </c>
      <c r="E120" s="95">
        <f>+('DOE25'!L283)+('DOE25'!L302)+('DOE25'!L321)</f>
        <v>814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145174</v>
      </c>
      <c r="D121" s="24" t="s">
        <v>286</v>
      </c>
      <c r="E121" s="95">
        <f>+('DOE25'!L284)+('DOE25'!L303)+('DOE25'!L322)</f>
        <v>2076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101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156762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117866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15120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68311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676089</v>
      </c>
      <c r="D128" s="86">
        <f>SUM(D118:D127)</f>
        <v>68311</v>
      </c>
      <c r="E128" s="86">
        <f>SUM(E118:E127)</f>
        <v>12662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33294</v>
      </c>
    </row>
    <row r="135" spans="1:7" x14ac:dyDescent="0.2">
      <c r="A135" t="s">
        <v>233</v>
      </c>
      <c r="B135" s="32" t="s">
        <v>234</v>
      </c>
      <c r="C135" s="95">
        <f>'DOE25'!L263</f>
        <v>42102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65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-65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927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43029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33294</v>
      </c>
    </row>
    <row r="145" spans="1:9" ht="12.75" thickTop="1" thickBot="1" x14ac:dyDescent="0.25">
      <c r="A145" s="33" t="s">
        <v>244</v>
      </c>
      <c r="C145" s="86">
        <f>(C115+C128+C144)</f>
        <v>2402314</v>
      </c>
      <c r="D145" s="86">
        <f>(D115+D128+D144)</f>
        <v>68311</v>
      </c>
      <c r="E145" s="86">
        <f>(E115+E128+E144)</f>
        <v>40604</v>
      </c>
      <c r="F145" s="86">
        <f>(F115+F128+F144)</f>
        <v>0</v>
      </c>
      <c r="G145" s="86">
        <f>(G115+G128+G144)</f>
        <v>33294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9" sqref="B39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BATH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15639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15639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1414396</v>
      </c>
      <c r="D10" s="182">
        <f>ROUND((C10/$C$28)*100,1)</f>
        <v>57.6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246966</v>
      </c>
      <c r="D11" s="182">
        <f>ROUND((C11/$C$28)*100,1)</f>
        <v>10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44400</v>
      </c>
      <c r="D12" s="182">
        <f>ROUND((C12/$C$28)*100,1)</f>
        <v>1.8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5376</v>
      </c>
      <c r="D13" s="182">
        <f>ROUND((C13/$C$28)*100,1)</f>
        <v>0.2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63724</v>
      </c>
      <c r="D15" s="182">
        <f t="shared" ref="D15:D27" si="0">ROUND((C15/$C$28)*100,1)</f>
        <v>2.6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20272</v>
      </c>
      <c r="D16" s="182">
        <f t="shared" si="0"/>
        <v>0.8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182776</v>
      </c>
      <c r="D17" s="182">
        <f t="shared" si="0"/>
        <v>7.4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147250</v>
      </c>
      <c r="D18" s="182">
        <f t="shared" si="0"/>
        <v>6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101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156762</v>
      </c>
      <c r="D20" s="182">
        <f t="shared" si="0"/>
        <v>6.4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117866</v>
      </c>
      <c r="D21" s="182">
        <f t="shared" si="0"/>
        <v>4.8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927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56777</v>
      </c>
      <c r="D27" s="182">
        <f t="shared" si="0"/>
        <v>2.2999999999999998</v>
      </c>
    </row>
    <row r="28" spans="1:4" x14ac:dyDescent="0.2">
      <c r="B28" s="187" t="s">
        <v>717</v>
      </c>
      <c r="C28" s="180">
        <f>SUM(C10:C27)</f>
        <v>2457593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2457593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1502602</v>
      </c>
      <c r="D35" s="182">
        <f t="shared" ref="D35:D40" si="1">ROUND((C35/$C$41)*100,1)</f>
        <v>62.3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18147</v>
      </c>
      <c r="D36" s="182">
        <f t="shared" si="1"/>
        <v>0.8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815072</v>
      </c>
      <c r="D37" s="182">
        <f t="shared" si="1"/>
        <v>33.799999999999997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4200</v>
      </c>
      <c r="D38" s="182">
        <f t="shared" si="1"/>
        <v>0.2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69985</v>
      </c>
      <c r="D39" s="182">
        <f t="shared" si="1"/>
        <v>2.9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2410006</v>
      </c>
      <c r="D41" s="184">
        <f>SUM(D35:D40)</f>
        <v>100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BATH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2018-08-28T13:52:32Z</cp:lastPrinted>
  <dcterms:created xsi:type="dcterms:W3CDTF">1997-12-04T19:04:30Z</dcterms:created>
  <dcterms:modified xsi:type="dcterms:W3CDTF">2018-11-13T18:44:35Z</dcterms:modified>
</cp:coreProperties>
</file>