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4000" windowHeight="975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20" i="1" l="1"/>
  <c r="H604" i="1"/>
  <c r="J233" i="1"/>
  <c r="H233" i="1"/>
  <c r="F50" i="1"/>
  <c r="H226" i="1" l="1"/>
  <c r="H235" i="1"/>
  <c r="H244" i="1"/>
  <c r="H236" i="1"/>
  <c r="F528" i="1"/>
  <c r="I498" i="1"/>
  <c r="H498" i="1"/>
  <c r="G498" i="1"/>
  <c r="F498" i="1"/>
  <c r="J360" i="1" l="1"/>
  <c r="I360" i="1"/>
  <c r="H360" i="1"/>
  <c r="F360" i="1"/>
  <c r="J359" i="1"/>
  <c r="I359" i="1"/>
  <c r="H359" i="1"/>
  <c r="F359" i="1"/>
  <c r="J358" i="1"/>
  <c r="I358" i="1"/>
  <c r="H358" i="1"/>
  <c r="F358" i="1"/>
  <c r="G283" i="1"/>
  <c r="F283" i="1"/>
  <c r="F301" i="1"/>
  <c r="J332" i="1"/>
  <c r="H279" i="1"/>
  <c r="G239" i="1"/>
  <c r="G221" i="1"/>
  <c r="G203" i="1"/>
  <c r="G49" i="1"/>
  <c r="G36" i="1" l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E13" i="13" s="1"/>
  <c r="C13" i="13" s="1"/>
  <c r="L224" i="1"/>
  <c r="L242" i="1"/>
  <c r="F16" i="13"/>
  <c r="G16" i="13"/>
  <c r="L209" i="1"/>
  <c r="L227" i="1"/>
  <c r="L245" i="1"/>
  <c r="E16" i="13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G651" i="1" s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L336" i="1"/>
  <c r="C29" i="10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G112" i="1" s="1"/>
  <c r="H79" i="1"/>
  <c r="H112" i="1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C26" i="10" s="1"/>
  <c r="L350" i="1"/>
  <c r="I665" i="1"/>
  <c r="I670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D50" i="2" s="1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E112" i="2"/>
  <c r="C113" i="2"/>
  <c r="E113" i="2"/>
  <c r="C114" i="2"/>
  <c r="D115" i="2"/>
  <c r="F115" i="2"/>
  <c r="G115" i="2"/>
  <c r="E120" i="2"/>
  <c r="E121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G620" i="1" s="1"/>
  <c r="F32" i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G470" i="1"/>
  <c r="G476" i="1" s="1"/>
  <c r="H623" i="1" s="1"/>
  <c r="J623" i="1" s="1"/>
  <c r="H470" i="1"/>
  <c r="I470" i="1"/>
  <c r="I476" i="1" s="1"/>
  <c r="H625" i="1" s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70" i="1" s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G640" i="1"/>
  <c r="H640" i="1"/>
  <c r="G641" i="1"/>
  <c r="H641" i="1"/>
  <c r="J641" i="1" s="1"/>
  <c r="G643" i="1"/>
  <c r="H643" i="1"/>
  <c r="J643" i="1" s="1"/>
  <c r="G644" i="1"/>
  <c r="G645" i="1"/>
  <c r="H645" i="1"/>
  <c r="J645" i="1" s="1"/>
  <c r="G650" i="1"/>
  <c r="G652" i="1"/>
  <c r="H652" i="1"/>
  <c r="G653" i="1"/>
  <c r="H653" i="1"/>
  <c r="G654" i="1"/>
  <c r="H654" i="1"/>
  <c r="H655" i="1"/>
  <c r="F192" i="1"/>
  <c r="A31" i="12"/>
  <c r="D62" i="2"/>
  <c r="D63" i="2" s="1"/>
  <c r="C91" i="2"/>
  <c r="F78" i="2"/>
  <c r="G156" i="2"/>
  <c r="D91" i="2"/>
  <c r="G62" i="2"/>
  <c r="D19" i="13"/>
  <c r="C19" i="13" s="1"/>
  <c r="E78" i="2"/>
  <c r="E81" i="2" s="1"/>
  <c r="J571" i="1"/>
  <c r="I169" i="1"/>
  <c r="G338" i="1"/>
  <c r="G352" i="1" s="1"/>
  <c r="J140" i="1"/>
  <c r="G22" i="2"/>
  <c r="H140" i="1"/>
  <c r="L401" i="1"/>
  <c r="C139" i="2" s="1"/>
  <c r="J640" i="1"/>
  <c r="H571" i="1"/>
  <c r="F338" i="1"/>
  <c r="F352" i="1" s="1"/>
  <c r="H192" i="1"/>
  <c r="J655" i="1"/>
  <c r="I571" i="1"/>
  <c r="G36" i="2"/>
  <c r="L270" i="1" l="1"/>
  <c r="A13" i="12"/>
  <c r="A40" i="12"/>
  <c r="J644" i="1"/>
  <c r="J639" i="1"/>
  <c r="I446" i="1"/>
  <c r="G642" i="1" s="1"/>
  <c r="L393" i="1"/>
  <c r="C138" i="2" s="1"/>
  <c r="I257" i="1"/>
  <c r="I271" i="1" s="1"/>
  <c r="C13" i="10"/>
  <c r="C12" i="10"/>
  <c r="H662" i="1"/>
  <c r="F476" i="1"/>
  <c r="H622" i="1" s="1"/>
  <c r="J622" i="1" s="1"/>
  <c r="F51" i="1"/>
  <c r="G622" i="1" s="1"/>
  <c r="C49" i="2"/>
  <c r="J651" i="1"/>
  <c r="K598" i="1"/>
  <c r="G647" i="1" s="1"/>
  <c r="L565" i="1"/>
  <c r="K551" i="1"/>
  <c r="L544" i="1"/>
  <c r="K545" i="1"/>
  <c r="H552" i="1"/>
  <c r="L534" i="1"/>
  <c r="J545" i="1"/>
  <c r="H545" i="1"/>
  <c r="F552" i="1"/>
  <c r="K550" i="1"/>
  <c r="I545" i="1"/>
  <c r="G545" i="1"/>
  <c r="L524" i="1"/>
  <c r="K549" i="1"/>
  <c r="G164" i="2"/>
  <c r="K500" i="1"/>
  <c r="G161" i="2"/>
  <c r="H476" i="1"/>
  <c r="H624" i="1" s="1"/>
  <c r="J624" i="1" s="1"/>
  <c r="J634" i="1"/>
  <c r="G661" i="1"/>
  <c r="L362" i="1"/>
  <c r="G635" i="1" s="1"/>
  <c r="J635" i="1" s="1"/>
  <c r="H661" i="1"/>
  <c r="L328" i="1"/>
  <c r="L338" i="1" s="1"/>
  <c r="K338" i="1"/>
  <c r="E119" i="2"/>
  <c r="E128" i="2" s="1"/>
  <c r="L309" i="1"/>
  <c r="E118" i="2"/>
  <c r="H338" i="1"/>
  <c r="H352" i="1" s="1"/>
  <c r="D14" i="13"/>
  <c r="C14" i="13" s="1"/>
  <c r="C119" i="2"/>
  <c r="C118" i="2"/>
  <c r="C110" i="2"/>
  <c r="K257" i="1"/>
  <c r="K271" i="1" s="1"/>
  <c r="C109" i="2"/>
  <c r="C17" i="10"/>
  <c r="J257" i="1"/>
  <c r="J271" i="1" s="1"/>
  <c r="C16" i="10"/>
  <c r="C18" i="10"/>
  <c r="F257" i="1"/>
  <c r="F271" i="1" s="1"/>
  <c r="D7" i="13"/>
  <c r="C7" i="13" s="1"/>
  <c r="C10" i="10"/>
  <c r="D5" i="13"/>
  <c r="C5" i="13" s="1"/>
  <c r="H257" i="1"/>
  <c r="H271" i="1" s="1"/>
  <c r="L256" i="1"/>
  <c r="H25" i="13"/>
  <c r="C25" i="13" s="1"/>
  <c r="H33" i="13"/>
  <c r="L247" i="1"/>
  <c r="H660" i="1" s="1"/>
  <c r="G257" i="1"/>
  <c r="G271" i="1" s="1"/>
  <c r="C21" i="10"/>
  <c r="L229" i="1"/>
  <c r="G660" i="1" s="1"/>
  <c r="C20" i="10"/>
  <c r="C123" i="2"/>
  <c r="C11" i="10"/>
  <c r="L211" i="1"/>
  <c r="C70" i="2"/>
  <c r="F112" i="1"/>
  <c r="C36" i="10" s="1"/>
  <c r="H52" i="1"/>
  <c r="H619" i="1" s="1"/>
  <c r="D31" i="2"/>
  <c r="D18" i="2"/>
  <c r="C18" i="2"/>
  <c r="J625" i="1"/>
  <c r="E8" i="13"/>
  <c r="C8" i="13" s="1"/>
  <c r="D12" i="13"/>
  <c r="C12" i="13" s="1"/>
  <c r="L290" i="1"/>
  <c r="L539" i="1"/>
  <c r="K503" i="1"/>
  <c r="L382" i="1"/>
  <c r="G636" i="1" s="1"/>
  <c r="J636" i="1" s="1"/>
  <c r="K352" i="1"/>
  <c r="E109" i="2"/>
  <c r="E115" i="2" s="1"/>
  <c r="C62" i="2"/>
  <c r="E57" i="2"/>
  <c r="E62" i="2" s="1"/>
  <c r="E63" i="2" s="1"/>
  <c r="F661" i="1"/>
  <c r="C19" i="10"/>
  <c r="C15" i="10"/>
  <c r="C121" i="2"/>
  <c r="C78" i="2"/>
  <c r="D6" i="13"/>
  <c r="C6" i="13" s="1"/>
  <c r="D15" i="13"/>
  <c r="C15" i="13" s="1"/>
  <c r="G649" i="1"/>
  <c r="J649" i="1" s="1"/>
  <c r="J338" i="1"/>
  <c r="J352" i="1" s="1"/>
  <c r="E130" i="2"/>
  <c r="D127" i="2"/>
  <c r="D128" i="2" s="1"/>
  <c r="D145" i="2" s="1"/>
  <c r="C124" i="2"/>
  <c r="C122" i="2"/>
  <c r="C120" i="2"/>
  <c r="C111" i="2"/>
  <c r="C56" i="2"/>
  <c r="F662" i="1"/>
  <c r="I662" i="1" s="1"/>
  <c r="C16" i="13"/>
  <c r="F22" i="13"/>
  <c r="C22" i="13" s="1"/>
  <c r="G552" i="1"/>
  <c r="D29" i="13"/>
  <c r="C29" i="13" s="1"/>
  <c r="F81" i="2"/>
  <c r="L351" i="1"/>
  <c r="H647" i="1"/>
  <c r="J647" i="1" s="1"/>
  <c r="G625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H646" i="1" l="1"/>
  <c r="J646" i="1" s="1"/>
  <c r="C81" i="2"/>
  <c r="C115" i="2"/>
  <c r="F52" i="1"/>
  <c r="H617" i="1" s="1"/>
  <c r="J617" i="1" s="1"/>
  <c r="K552" i="1"/>
  <c r="L545" i="1"/>
  <c r="G664" i="1"/>
  <c r="G672" i="1" s="1"/>
  <c r="C5" i="10" s="1"/>
  <c r="C27" i="10"/>
  <c r="C28" i="10" s="1"/>
  <c r="D19" i="10" s="1"/>
  <c r="I661" i="1"/>
  <c r="H664" i="1"/>
  <c r="H667" i="1" s="1"/>
  <c r="E145" i="2"/>
  <c r="H648" i="1"/>
  <c r="J648" i="1" s="1"/>
  <c r="F660" i="1"/>
  <c r="I660" i="1" s="1"/>
  <c r="I664" i="1" s="1"/>
  <c r="I672" i="1" s="1"/>
  <c r="C7" i="10" s="1"/>
  <c r="L257" i="1"/>
  <c r="L271" i="1" s="1"/>
  <c r="G632" i="1" s="1"/>
  <c r="J632" i="1" s="1"/>
  <c r="C128" i="2"/>
  <c r="C145" i="2" s="1"/>
  <c r="F33" i="13"/>
  <c r="C63" i="2"/>
  <c r="C104" i="2" s="1"/>
  <c r="D31" i="13"/>
  <c r="C31" i="13" s="1"/>
  <c r="L352" i="1"/>
  <c r="G633" i="1" s="1"/>
  <c r="J633" i="1" s="1"/>
  <c r="E33" i="13"/>
  <c r="D35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67" i="1" l="1"/>
  <c r="H672" i="1"/>
  <c r="C6" i="10" s="1"/>
  <c r="D33" i="13"/>
  <c r="D36" i="13" s="1"/>
  <c r="F664" i="1"/>
  <c r="F672" i="1" s="1"/>
  <c r="C4" i="10" s="1"/>
  <c r="D23" i="10"/>
  <c r="D10" i="10"/>
  <c r="D15" i="10"/>
  <c r="D18" i="10"/>
  <c r="C30" i="10"/>
  <c r="D20" i="10"/>
  <c r="D17" i="10"/>
  <c r="D27" i="10"/>
  <c r="D26" i="10"/>
  <c r="D21" i="10"/>
  <c r="D13" i="10"/>
  <c r="D11" i="10"/>
  <c r="D12" i="10"/>
  <c r="D22" i="10"/>
  <c r="D25" i="10"/>
  <c r="D24" i="10"/>
  <c r="D16" i="10"/>
  <c r="I667" i="1"/>
  <c r="H656" i="1"/>
  <c r="C41" i="10"/>
  <c r="D38" i="10" s="1"/>
  <c r="F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<sst xmlns="http://schemas.openxmlformats.org/spreadsheetml/2006/main" count="3965" uniqueCount="921">
  <si>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</si>
  <si>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</si>
  <si>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</si>
  <si>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</si>
  <si>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</si>
  <si>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</si>
  <si>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</si>
  <si>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</si>
  <si>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</si>
  <si>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</si>
  <si>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</si>
  <si>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</si>
  <si>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</si>
  <si>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</si>
  <si>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</si>
  <si>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</si>
  <si>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</si>
  <si>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</si>
  <si>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</si>
  <si>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</si>
  <si>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</si>
  <si>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</si>
  <si>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</si>
  <si>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</si>
  <si>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</si>
  <si>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</si>
  <si>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</si>
  <si>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</si>
  <si>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</si>
  <si>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</si>
  <si>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</si>
  <si>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</si>
  <si>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</si>
  <si>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</si>
  <si>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</si>
  <si>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</si>
  <si>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</si>
  <si>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</si>
  <si>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</si>
  <si>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</si>
  <si>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</si>
  <si>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</si>
  <si>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</si>
  <si>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</si>
  <si>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</si>
  <si>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</si>
  <si>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</si>
  <si>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</si>
  <si>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</si>
  <si>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</si>
  <si>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</si>
  <si>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</si>
  <si>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</si>
  <si>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</si>
  <si>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</si>
  <si>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</si>
  <si>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</si>
  <si>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</si>
  <si>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</si>
  <si>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</si>
  <si>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</si>
  <si>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</si>
  <si>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</si>
  <si>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</si>
  <si>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</si>
  <si>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</si>
  <si>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</si>
  <si>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</si>
  <si>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</si>
  <si>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</si>
  <si>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</si>
  <si>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</si>
  <si>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</si>
  <si>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</si>
  <si>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</si>
  <si>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</si>
  <si>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</si>
  <si>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</si>
  <si>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</si>
  <si>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</si>
  <si>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</si>
  <si>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</si>
  <si>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</si>
  <si>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</si>
  <si>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</si>
  <si>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</si>
  <si>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</si>
  <si>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</si>
  <si>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</si>
  <si>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</si>
  <si>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</si>
  <si>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</si>
  <si>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</si>
  <si>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</si>
  <si>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</si>
  <si>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</si>
  <si>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</si>
  <si>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</si>
  <si>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</si>
  <si>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</si>
  <si>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</si>
  <si>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</si>
  <si>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</si>
  <si>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</si>
  <si>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</si>
  <si>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</si>
  <si>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</si>
  <si>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</si>
  <si>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</si>
  <si>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</si>
  <si>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</si>
  <si>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</si>
  <si>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</si>
  <si>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</si>
  <si>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</si>
  <si>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</si>
  <si>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</si>
  <si>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</si>
  <si>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</si>
  <si>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</si>
  <si>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</si>
  <si>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</si>
  <si>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</si>
  <si>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</si>
  <si>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</si>
  <si>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</si>
  <si>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</si>
  <si>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</si>
  <si>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</si>
  <si>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</si>
  <si>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</si>
  <si>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</si>
  <si>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</si>
  <si>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</si>
  <si>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</si>
  <si>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</si>
  <si>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</si>
  <si>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</si>
  <si>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</si>
  <si>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</si>
  <si>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</si>
  <si>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</si>
  <si>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</si>
  <si>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</si>
  <si>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</si>
  <si>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</si>
  <si>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</si>
  <si>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</si>
  <si>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</si>
  <si>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</si>
  <si>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</si>
  <si>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</si>
  <si>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</si>
  <si>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</si>
  <si>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</si>
  <si>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</si>
  <si>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</si>
  <si>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</si>
  <si>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</si>
  <si>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</si>
  <si>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</si>
  <si>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</si>
  <si>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</si>
  <si>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</si>
  <si>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</si>
  <si>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</si>
  <si>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</si>
  <si>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</si>
  <si>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</si>
  <si>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</si>
  <si>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</si>
  <si>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</si>
  <si>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</si>
  <si>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</si>
  <si>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</si>
  <si>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</si>
  <si>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</si>
  <si>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</si>
  <si>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</si>
  <si>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</si>
  <si>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</si>
  <si>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</si>
  <si>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</si>
  <si>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</si>
  <si>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</si>
  <si>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</si>
  <si>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</si>
  <si>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</si>
  <si>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</si>
  <si>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</si>
  <si>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</si>
  <si>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</si>
  <si>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</si>
  <si>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</si>
  <si>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</si>
  <si>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</si>
  <si>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</si>
  <si>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</si>
  <si>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</si>
  <si>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</si>
  <si>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</si>
  <si>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</si>
  <si>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</si>
  <si>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</si>
  <si>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</si>
  <si>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</si>
  <si>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</si>
  <si>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</si>
  <si>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</si>
  <si>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</si>
  <si>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</si>
  <si>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</si>
  <si>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</si>
  <si>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</si>
  <si>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</si>
  <si>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</si>
  <si>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</si>
  <si>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</si>
  <si>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</si>
  <si>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</si>
  <si>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</si>
  <si>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</si>
  <si>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</si>
  <si>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</si>
  <si>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</si>
  <si>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</si>
  <si>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</si>
  <si>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</si>
  <si>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</si>
  <si>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</si>
  <si>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</si>
  <si>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</si>
  <si>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</si>
  <si>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</si>
  <si>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</si>
  <si>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</si>
  <si>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</si>
  <si>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</si>
  <si>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</si>
  <si>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</si>
  <si>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</si>
  <si>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</si>
  <si>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</si>
  <si>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</si>
  <si>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</si>
  <si>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</si>
  <si>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</si>
  <si>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</si>
  <si>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</si>
  <si>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</si>
  <si>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</si>
  <si>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</si>
  <si>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</si>
  <si>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</si>
  <si>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</si>
  <si>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</si>
  <si>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</si>
  <si>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</si>
  <si>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</si>
  <si>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</si>
  <si>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</si>
  <si>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</si>
  <si>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</si>
  <si>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</si>
  <si>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</si>
  <si>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</si>
  <si>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</si>
  <si>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</si>
  <si>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</si>
  <si>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</si>
  <si>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</si>
  <si>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</si>
  <si>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</si>
  <si>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</si>
  <si>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</si>
  <si>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</si>
  <si>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</si>
  <si>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</si>
  <si>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</si>
  <si>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</si>
  <si>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</si>
  <si>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</si>
  <si>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</si>
  <si>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</si>
  <si>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</si>
  <si>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</si>
  <si>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</si>
  <si>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</si>
  <si>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</si>
  <si>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</si>
  <si>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</si>
  <si>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</si>
  <si>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</si>
  <si>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</si>
  <si>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</si>
  <si>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</si>
  <si>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</si>
  <si>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</si>
  <si>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</si>
  <si>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</si>
  <si>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</si>
  <si>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</si>
  <si>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</si>
  <si>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</si>
  <si>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</si>
  <si>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</si>
  <si>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</si>
  <si>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</si>
  <si>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</si>
  <si>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</si>
  <si>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</si>
  <si>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</si>
  <si>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</si>
  <si>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</si>
  <si>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</si>
  <si>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</si>
  <si>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</si>
  <si>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</si>
  <si>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</si>
  <si>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</si>
  <si>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</si>
  <si>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</si>
  <si>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</si>
  <si>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</si>
  <si>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</si>
  <si>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</si>
  <si>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</si>
  <si>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</si>
  <si>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</si>
  <si>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</si>
  <si>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</si>
  <si>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</si>
  <si>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</si>
  <si>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</si>
  <si>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</si>
  <si>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</si>
  <si>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</si>
  <si>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</si>
  <si>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</si>
  <si>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</si>
  <si>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</si>
  <si>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</si>
  <si>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</si>
  <si>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</si>
  <si>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</si>
  <si>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</si>
  <si>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</si>
  <si>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</si>
  <si>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</si>
  <si>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</si>
  <si>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</si>
  <si>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</si>
  <si>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</si>
  <si>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</si>
  <si>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</si>
  <si>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</si>
  <si>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</si>
  <si>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</si>
  <si>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</si>
  <si>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</si>
  <si>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</si>
  <si>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</si>
  <si>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</si>
  <si>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</si>
  <si>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</si>
  <si>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</si>
  <si>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</si>
  <si>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</si>
  <si>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</si>
  <si>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</si>
  <si>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</si>
  <si>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</si>
  <si>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</si>
  <si>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</si>
  <si>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</si>
  <si>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</si>
  <si>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</si>
  <si>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</si>
  <si>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</si>
  <si>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</si>
  <si>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</si>
  <si>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</si>
  <si>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</si>
  <si>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</si>
  <si>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</si>
  <si>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</si>
  <si>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</si>
  <si>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</si>
  <si>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</si>
  <si>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</si>
  <si>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</si>
  <si>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</si>
  <si>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</si>
  <si>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</si>
  <si>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</si>
  <si>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</si>
  <si>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</si>
  <si>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</si>
  <si>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</si>
  <si>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</si>
  <si>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</si>
  <si>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</si>
  <si>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</si>
  <si>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</si>
  <si>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</si>
  <si>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</si>
  <si>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</si>
  <si>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</si>
  <si>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</si>
  <si>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</si>
  <si>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</si>
  <si>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</si>
  <si>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</si>
  <si>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</si>
  <si>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</si>
  <si>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</si>
  <si>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</si>
  <si>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</si>
  <si>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</si>
  <si>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</si>
  <si>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</si>
  <si>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</si>
  <si>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</si>
  <si>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</si>
  <si>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</si>
  <si>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</si>
  <si>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</si>
  <si>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</si>
  <si>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</si>
  <si>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</si>
  <si>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</si>
  <si>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</si>
  <si>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</si>
  <si>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</si>
  <si>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</si>
  <si>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</si>
  <si>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</si>
  <si>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</si>
  <si>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</si>
  <si>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</si>
  <si>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</si>
  <si>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</si>
  <si>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</si>
  <si>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</si>
  <si>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</si>
  <si>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</si>
  <si>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</si>
  <si>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</si>
  <si>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</si>
  <si>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</si>
  <si>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</si>
  <si>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</si>
  <si>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</si>
  <si>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</si>
  <si>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</si>
  <si>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</si>
  <si>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</si>
  <si>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</si>
  <si>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</si>
  <si>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</si>
  <si>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</si>
  <si>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</si>
  <si>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</si>
  <si>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</si>
  <si>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</si>
  <si>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</si>
  <si>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</si>
  <si>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</si>
  <si>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</si>
  <si>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</si>
  <si>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</si>
  <si>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</si>
  <si>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</si>
  <si>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</si>
  <si>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</si>
  <si>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</si>
  <si>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</si>
  <si>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</si>
  <si>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</si>
  <si>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</si>
  <si>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</si>
  <si>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</si>
  <si>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</si>
  <si>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</si>
  <si>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</si>
  <si>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</si>
  <si>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</si>
  <si>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</si>
  <si>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</si>
  <si>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</si>
  <si>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</si>
  <si>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</si>
  <si>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</si>
  <si>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</si>
  <si>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</si>
  <si>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</si>
  <si>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</si>
  <si>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</si>
  <si>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</si>
  <si>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</si>
  <si>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</si>
  <si>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</si>
  <si>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</si>
  <si>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</si>
  <si>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</si>
  <si>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</si>
  <si>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</si>
  <si>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</si>
  <si>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</si>
  <si>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</si>
  <si>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</si>
  <si>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</si>
  <si>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</si>
  <si>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</si>
  <si>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</si>
  <si>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</si>
  <si>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</si>
  <si>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</si>
  <si>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</si>
  <si>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</si>
  <si>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</si>
  <si>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</si>
  <si>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</si>
  <si>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</si>
  <si>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</si>
  <si>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</si>
  <si>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</si>
  <si>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</si>
  <si>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</si>
  <si>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</si>
  <si>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</si>
  <si>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</si>
  <si>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</si>
  <si>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</si>
  <si>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</si>
  <si>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</si>
  <si>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</si>
  <si>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</si>
  <si>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</si>
  <si>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</si>
  <si>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</si>
  <si>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</si>
  <si>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</si>
  <si>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</si>
  <si>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</si>
  <si>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</si>
  <si>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</si>
  <si>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</si>
  <si>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</si>
  <si>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</si>
  <si>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</si>
  <si>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</si>
  <si>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</si>
  <si>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</si>
  <si>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</si>
  <si>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</si>
  <si>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</si>
  <si>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</si>
  <si>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</si>
  <si>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</si>
  <si>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</si>
  <si>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</si>
  <si>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</si>
  <si>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</si>
  <si>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</si>
  <si>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</si>
  <si>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</si>
  <si>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</si>
  <si>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</si>
  <si>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</si>
  <si>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</si>
  <si>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</si>
  <si>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</si>
  <si>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</si>
  <si>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</si>
  <si>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</si>
  <si>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</si>
  <si>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</si>
  <si>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</si>
  <si>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</si>
  <si>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</si>
  <si>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</si>
  <si>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</si>
  <si>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</si>
  <si>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</si>
  <si>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</si>
  <si>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</si>
  <si>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</si>
  <si>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</si>
  <si>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</si>
  <si>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</si>
  <si>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</si>
  <si>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</si>
  <si>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</si>
  <si>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</si>
  <si>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</si>
  <si>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</si>
  <si>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</si>
  <si>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</si>
  <si>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</si>
  <si>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</si>
  <si>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</si>
  <si>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</si>
  <si>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</si>
  <si>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</si>
  <si>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</si>
  <si>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</si>
  <si>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</si>
  <si>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</si>
  <si>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</si>
  <si>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</si>
  <si>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</si>
  <si>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</si>
  <si>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</si>
  <si>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</si>
  <si>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</si>
  <si>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</si>
  <si>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</si>
  <si>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</si>
  <si>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</si>
  <si>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</si>
  <si>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</si>
  <si>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</si>
  <si>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</si>
  <si>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</si>
  <si>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</si>
  <si>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</si>
  <si>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</si>
  <si>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</si>
  <si>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</si>
  <si>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</si>
  <si>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</si>
  <si>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</si>
  <si>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</si>
  <si>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</si>
  <si>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</si>
  <si>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</si>
  <si>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</si>
  <si>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</si>
  <si>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</si>
  <si>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</si>
  <si>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</si>
  <si>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</si>
  <si>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</si>
  <si>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</si>
  <si>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</si>
  <si>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</si>
  <si>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</si>
  <si>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</si>
  <si>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</si>
  <si>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</si>
  <si>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</si>
  <si>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</si>
  <si>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</si>
  <si>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</si>
  <si>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</si>
  <si>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</si>
  <si>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</si>
  <si>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</si>
  <si>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</si>
  <si>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</si>
  <si>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</si>
  <si>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</si>
  <si>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</si>
  <si>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</si>
  <si>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</si>
  <si>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</si>
  <si>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</si>
  <si>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</si>
  <si>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</si>
  <si>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</si>
  <si>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</si>
  <si>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</si>
  <si>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</si>
  <si>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</si>
  <si>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</si>
  <si>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</si>
  <si>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</si>
  <si>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</si>
  <si>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</si>
  <si>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</si>
  <si>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</si>
  <si>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</si>
  <si>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</si>
  <si>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</si>
  <si>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</si>
  <si>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</si>
  <si>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</si>
  <si>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</si>
  <si>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</si>
  <si>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</si>
  <si>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</si>
  <si>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</si>
  <si>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</si>
  <si>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</si>
  <si>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</si>
  <si>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</si>
  <si>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</si>
  <si>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</si>
  <si>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</si>
  <si>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</si>
  <si>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</si>
  <si>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</si>
  <si>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</si>
  <si>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</si>
  <si>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</si>
  <si>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</si>
  <si>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</si>
  <si>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</si>
  <si>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</si>
  <si>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</si>
  <si>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</si>
  <si>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</si>
  <si>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</si>
  <si>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</si>
  <si>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</si>
  <si>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</si>
  <si>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</si>
  <si>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</si>
  <si>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</si>
  <si>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</si>
  <si>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</si>
  <si>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</si>
  <si>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</si>
  <si>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</si>
  <si>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</si>
  <si>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</si>
  <si>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</si>
  <si>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</si>
  <si>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</si>
  <si>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</si>
  <si>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</si>
  <si>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</si>
  <si>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</si>
  <si>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</si>
  <si>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</si>
  <si>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</si>
  <si>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</si>
  <si>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</si>
  <si>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</si>
  <si>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</si>
  <si>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</si>
  <si>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</si>
  <si>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</si>
  <si>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</si>
  <si>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</si>
  <si>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</si>
  <si>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</si>
  <si>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</si>
  <si>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</si>
  <si>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</si>
  <si>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</si>
  <si>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</si>
  <si>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</si>
  <si>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</si>
  <si>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</si>
  <si>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</si>
  <si>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</si>
  <si>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</si>
  <si>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</si>
  <si>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</si>
  <si>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</si>
  <si>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</si>
  <si>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</si>
  <si>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</si>
  <si>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</si>
  <si>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</si>
  <si>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</si>
  <si>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</si>
  <si>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</si>
  <si>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</si>
  <si>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</si>
  <si>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</si>
  <si>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</si>
  <si>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</si>
  <si>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</si>
  <si>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</si>
  <si>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</si>
  <si>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</si>
  <si>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</si>
  <si>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</si>
  <si>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</si>
  <si>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</si>
  <si>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</si>
  <si>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</si>
  <si>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</si>
  <si>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</si>
  <si>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</si>
  <si>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</si>
  <si>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</si>
  <si>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</si>
  <si>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</si>
  <si>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</si>
  <si>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</si>
  <si>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</si>
  <si>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</si>
  <si>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</si>
  <si>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</si>
  <si>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</si>
  <si>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</si>
  <si>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</si>
  <si>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</si>
  <si>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</si>
  <si>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</si>
  <si>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</si>
  <si>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</si>
  <si>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</si>
  <si>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</si>
  <si>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</si>
  <si>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</si>
  <si>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</si>
  <si>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</si>
  <si>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</si>
  <si>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</si>
  <si>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</si>
  <si>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</si>
  <si>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</si>
  <si>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</si>
  <si>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</si>
  <si>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</si>
  <si>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</si>
  <si>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</si>
  <si>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</si>
  <si>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</si>
  <si>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</si>
  <si>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</si>
  <si>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</si>
  <si>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</si>
  <si>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</si>
  <si>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</si>
  <si>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</si>
  <si>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</si>
  <si>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</si>
  <si>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</si>
  <si>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</si>
  <si>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</si>
  <si>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</si>
  <si>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</si>
  <si>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</si>
  <si>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</si>
  <si>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</si>
  <si>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</si>
  <si>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</si>
  <si>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</si>
  <si>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</si>
  <si>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</si>
  <si>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</si>
  <si>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</si>
  <si>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</si>
  <si>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</si>
  <si>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</si>
  <si>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</si>
  <si>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</si>
  <si>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</si>
  <si>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</si>
  <si>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</si>
  <si>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</si>
  <si>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</si>
  <si>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</si>
  <si>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</si>
  <si>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</si>
  <si>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</si>
  <si>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</si>
  <si>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</si>
  <si>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</si>
  <si>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</si>
  <si>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</si>
  <si>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</si>
  <si>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</si>
  <si>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</si>
  <si>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</si>
  <si>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</si>
  <si>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</si>
  <si>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</si>
  <si>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</si>
  <si>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</si>
  <si>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</si>
  <si>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</si>
  <si>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</si>
  <si>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</si>
  <si>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</si>
  <si>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</si>
  <si>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</si>
  <si>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</si>
  <si>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</si>
  <si>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</si>
  <si>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</si>
  <si>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</si>
  <si>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</si>
  <si>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</si>
  <si>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</si>
  <si>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</si>
  <si>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</si>
  <si>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</si>
  <si>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</si>
  <si>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</si>
  <si>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</si>
  <si>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</si>
  <si>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</si>
  <si>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</si>
  <si>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</si>
  <si>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</si>
  <si>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</si>
  <si>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</si>
  <si>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</si>
  <si>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</si>
  <si>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</si>
  <si>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</si>
  <si>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</si>
  <si>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</si>
  <si>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</si>
  <si>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</si>
  <si>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8/08</t>
  </si>
  <si>
    <t>8/18</t>
  </si>
  <si>
    <t>6/06</t>
  </si>
  <si>
    <t>7/26</t>
  </si>
  <si>
    <t xml:space="preserve"> 8/07</t>
  </si>
  <si>
    <t xml:space="preserve"> 8/17</t>
  </si>
  <si>
    <t xml:space="preserve"> 11/14</t>
  </si>
  <si>
    <t xml:space="preserve"> 7/29</t>
  </si>
  <si>
    <t>Bedford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</si>
</sst>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920</v>
      </c>
      <c r="B2" s="21">
        <v>41</v>
      </c>
      <c r="C2" s="21">
        <v>41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7136626.6399999997</v>
      </c>
      <c r="G9" s="18">
        <v>202</v>
      </c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>
        <v>619715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179638.37</v>
      </c>
      <c r="G13" s="18">
        <v>13989.55</v>
      </c>
      <c r="H13" s="18">
        <v>436587.31</v>
      </c>
      <c r="I13" s="18"/>
      <c r="J13" s="67">
        <f>SUM(I442)</f>
        <v>491000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152110.79</v>
      </c>
      <c r="G14" s="18">
        <v>2105.54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14566.02</v>
      </c>
      <c r="G17" s="18">
        <v>6977.5</v>
      </c>
      <c r="H17" s="18">
        <v>3137.5</v>
      </c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7482941.8199999994</v>
      </c>
      <c r="G19" s="41">
        <f>SUM(G9:G18)</f>
        <v>642989.59000000008</v>
      </c>
      <c r="H19" s="41">
        <f>SUM(H9:H18)</f>
        <v>439724.81</v>
      </c>
      <c r="I19" s="41">
        <f>SUM(I9:I18)</f>
        <v>0</v>
      </c>
      <c r="J19" s="41">
        <f>SUM(J9:J18)</f>
        <v>491000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313431.21000000002</v>
      </c>
      <c r="G22" s="18"/>
      <c r="H22" s="18">
        <v>306283.78999999998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80908.72</v>
      </c>
      <c r="G24" s="18">
        <v>770.75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2602804.96</v>
      </c>
      <c r="G28" s="18">
        <v>2176.67</v>
      </c>
      <c r="H28" s="18">
        <v>66969.850000000006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149124</v>
      </c>
      <c r="G30" s="18">
        <v>85341.73</v>
      </c>
      <c r="H30" s="18">
        <v>66471.17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3146268.89</v>
      </c>
      <c r="G32" s="41">
        <f>SUM(G22:G31)</f>
        <v>88289.15</v>
      </c>
      <c r="H32" s="41">
        <f>SUM(H22:H31)</f>
        <v>439724.81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14566.02</v>
      </c>
      <c r="G36" s="18">
        <f>G17</f>
        <v>6977.5</v>
      </c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491000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472200.16</v>
      </c>
      <c r="G49" s="18">
        <f>554700.44-G36</f>
        <v>547722.93999999994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F19-F32-F36-F49</f>
        <v>3849906.75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4336672.93</v>
      </c>
      <c r="G51" s="41">
        <f>SUM(G35:G50)</f>
        <v>554700.43999999994</v>
      </c>
      <c r="H51" s="41">
        <f>SUM(H35:H50)</f>
        <v>0</v>
      </c>
      <c r="I51" s="41">
        <f>SUM(I35:I50)</f>
        <v>0</v>
      </c>
      <c r="J51" s="41">
        <f>SUM(J35:J50)</f>
        <v>491000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7482941.8200000003</v>
      </c>
      <c r="G52" s="41">
        <f>G51+G32</f>
        <v>642989.59</v>
      </c>
      <c r="H52" s="41">
        <f>H51+H32</f>
        <v>439724.81</v>
      </c>
      <c r="I52" s="41">
        <f>I51+I32</f>
        <v>0</v>
      </c>
      <c r="J52" s="41">
        <f>J51+J32</f>
        <v>491000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41913435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41913435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657968.94999999995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71578.73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3560</v>
      </c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319490.15000000002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1052597.83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8142.26</v>
      </c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8142.26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35156.29</v>
      </c>
      <c r="G96" s="18"/>
      <c r="H96" s="18"/>
      <c r="I96" s="18"/>
      <c r="J96" s="18">
        <v>-153.01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1533273.32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113985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25454.400000000001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1465.04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270313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420919.33</v>
      </c>
      <c r="G111" s="41">
        <f>SUM(G96:G110)</f>
        <v>1533273.32</v>
      </c>
      <c r="H111" s="41">
        <f>SUM(H96:H110)</f>
        <v>25454.400000000001</v>
      </c>
      <c r="I111" s="41">
        <f>SUM(I96:I110)</f>
        <v>0</v>
      </c>
      <c r="J111" s="41">
        <f>SUM(J96:J110)</f>
        <v>-153.01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43395094.419999994</v>
      </c>
      <c r="G112" s="41">
        <f>G60+G111</f>
        <v>1533273.32</v>
      </c>
      <c r="H112" s="41">
        <f>H60+H79+H94+H111</f>
        <v>25454.400000000001</v>
      </c>
      <c r="I112" s="41">
        <f>I60+I111</f>
        <v>0</v>
      </c>
      <c r="J112" s="41">
        <f>J60+J111</f>
        <v>-153.01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8855695.0399999991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8565052.9900000002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f>41773.86+1195</f>
        <v>42968.86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17463716.890000001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855327.36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464162.78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5281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>
        <v>5000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22892.76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1324771.1400000001</v>
      </c>
      <c r="G136" s="41">
        <f>SUM(G123:G135)</f>
        <v>22892.76</v>
      </c>
      <c r="H136" s="41">
        <f>SUM(H123:H135)</f>
        <v>5000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18788488.030000001</v>
      </c>
      <c r="G140" s="41">
        <f>G121+SUM(G136:G137)</f>
        <v>22892.76</v>
      </c>
      <c r="H140" s="41">
        <f>H121+SUM(H136:H139)</f>
        <v>5000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121943.77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83769.41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206335.05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921107.4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409164.36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409164.36</v>
      </c>
      <c r="G162" s="41">
        <f>SUM(G150:G161)</f>
        <v>206335.05</v>
      </c>
      <c r="H162" s="41">
        <f>SUM(H150:H161)</f>
        <v>1126820.58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409164.36</v>
      </c>
      <c r="G169" s="41">
        <f>G147+G162+SUM(G163:G168)</f>
        <v>206335.05</v>
      </c>
      <c r="H169" s="41">
        <f>H147+H162+SUM(H163:H168)</f>
        <v>1126820.58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1.1499999999999999</v>
      </c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1.1499999999999999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1.1499999999999999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62592746.809999995</v>
      </c>
      <c r="G193" s="47">
        <f>G112+G140+G169+G192</f>
        <v>1762502.28</v>
      </c>
      <c r="H193" s="47">
        <f>H112+H140+H169+H192</f>
        <v>1157274.98</v>
      </c>
      <c r="I193" s="47">
        <f>I112+I140+I169+I192</f>
        <v>0</v>
      </c>
      <c r="J193" s="47">
        <f>J112+J140+J192</f>
        <v>-153.01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8764189.4399999995</v>
      </c>
      <c r="G197" s="18">
        <v>4347524.5599999996</v>
      </c>
      <c r="H197" s="18">
        <v>57391.56</v>
      </c>
      <c r="I197" s="18">
        <v>390314.95</v>
      </c>
      <c r="J197" s="18">
        <v>30399.32</v>
      </c>
      <c r="K197" s="18">
        <v>0</v>
      </c>
      <c r="L197" s="19">
        <f>SUM(F197:K197)</f>
        <v>13589819.83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3521689.6000000001</v>
      </c>
      <c r="G198" s="18">
        <v>1746953.57</v>
      </c>
      <c r="H198" s="18">
        <v>394906.85</v>
      </c>
      <c r="I198" s="18">
        <v>30585.24</v>
      </c>
      <c r="J198" s="18"/>
      <c r="K198" s="18"/>
      <c r="L198" s="19">
        <f>SUM(F198:K198)</f>
        <v>5694135.2599999998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58776.58</v>
      </c>
      <c r="G200" s="18">
        <v>29156.45</v>
      </c>
      <c r="H200" s="18"/>
      <c r="I200" s="18"/>
      <c r="J200" s="18"/>
      <c r="K200" s="18"/>
      <c r="L200" s="19">
        <f>SUM(F200:K200)</f>
        <v>87933.03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1137213.47</v>
      </c>
      <c r="G202" s="18">
        <v>564121.02</v>
      </c>
      <c r="H202" s="18">
        <v>538559.82999999996</v>
      </c>
      <c r="I202" s="18">
        <v>21991.96</v>
      </c>
      <c r="J202" s="18">
        <v>1232.8800000000001</v>
      </c>
      <c r="K202" s="18"/>
      <c r="L202" s="19">
        <f t="shared" ref="L202:L208" si="0">SUM(F202:K202)</f>
        <v>2263119.1599999997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284652.73</v>
      </c>
      <c r="G203" s="18">
        <f>141203.56+74353.26</f>
        <v>215556.82</v>
      </c>
      <c r="H203" s="18">
        <v>31424.6</v>
      </c>
      <c r="I203" s="18">
        <v>51068.33</v>
      </c>
      <c r="J203" s="18">
        <v>154674.39000000001</v>
      </c>
      <c r="K203" s="18">
        <v>21938.63</v>
      </c>
      <c r="L203" s="19">
        <f t="shared" si="0"/>
        <v>759315.5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447543.67</v>
      </c>
      <c r="G204" s="18">
        <v>222006.51</v>
      </c>
      <c r="H204" s="18">
        <v>41553.519999999997</v>
      </c>
      <c r="I204" s="18">
        <v>10261.5</v>
      </c>
      <c r="J204" s="18">
        <v>11477.54</v>
      </c>
      <c r="K204" s="18">
        <v>12945.05</v>
      </c>
      <c r="L204" s="19">
        <f t="shared" si="0"/>
        <v>745787.79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1329077.1399999999</v>
      </c>
      <c r="G205" s="18">
        <v>659296.05000000005</v>
      </c>
      <c r="H205" s="18">
        <v>12980.01</v>
      </c>
      <c r="I205" s="18">
        <v>19081.39</v>
      </c>
      <c r="J205" s="18">
        <v>1825.29</v>
      </c>
      <c r="K205" s="18">
        <v>7210</v>
      </c>
      <c r="L205" s="19">
        <f t="shared" si="0"/>
        <v>2029469.88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126075.35</v>
      </c>
      <c r="G206" s="18">
        <v>62540.37</v>
      </c>
      <c r="H206" s="18">
        <v>130328.25</v>
      </c>
      <c r="I206" s="18"/>
      <c r="J206" s="18"/>
      <c r="K206" s="18">
        <v>1997.12</v>
      </c>
      <c r="L206" s="19">
        <f t="shared" si="0"/>
        <v>320941.08999999997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875947.41</v>
      </c>
      <c r="G207" s="18">
        <v>434518.55</v>
      </c>
      <c r="H207" s="18">
        <v>911915.29</v>
      </c>
      <c r="I207" s="18">
        <v>511912.37</v>
      </c>
      <c r="J207" s="18">
        <v>3917.64</v>
      </c>
      <c r="K207" s="18">
        <v>417.75</v>
      </c>
      <c r="L207" s="19">
        <f t="shared" si="0"/>
        <v>2738629.0100000002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22322.880000000001</v>
      </c>
      <c r="G208" s="18">
        <v>11073.39</v>
      </c>
      <c r="H208" s="18">
        <v>1286964.69</v>
      </c>
      <c r="I208" s="18"/>
      <c r="J208" s="18"/>
      <c r="K208" s="18"/>
      <c r="L208" s="19">
        <f t="shared" si="0"/>
        <v>1320360.96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>
        <v>30439.22</v>
      </c>
      <c r="I209" s="18"/>
      <c r="J209" s="18"/>
      <c r="K209" s="18"/>
      <c r="L209" s="19">
        <f>SUM(F209:K209)</f>
        <v>30439.22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16567488.270000001</v>
      </c>
      <c r="G211" s="41">
        <f t="shared" si="1"/>
        <v>8292747.2899999991</v>
      </c>
      <c r="H211" s="41">
        <f t="shared" si="1"/>
        <v>3436463.8200000003</v>
      </c>
      <c r="I211" s="41">
        <f t="shared" si="1"/>
        <v>1035215.74</v>
      </c>
      <c r="J211" s="41">
        <f t="shared" si="1"/>
        <v>203527.06000000006</v>
      </c>
      <c r="K211" s="41">
        <f t="shared" si="1"/>
        <v>44508.55</v>
      </c>
      <c r="L211" s="41">
        <f t="shared" si="1"/>
        <v>29579950.73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3572134.25</v>
      </c>
      <c r="G215" s="18">
        <v>1771976.92</v>
      </c>
      <c r="H215" s="18">
        <v>24748.23</v>
      </c>
      <c r="I215" s="18">
        <v>67151.820000000007</v>
      </c>
      <c r="J215" s="18">
        <v>5375.6399999999994</v>
      </c>
      <c r="K215" s="18"/>
      <c r="L215" s="19">
        <f>SUM(F215:K215)</f>
        <v>5441386.8600000003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1228975.25</v>
      </c>
      <c r="G216" s="18">
        <v>609639.96</v>
      </c>
      <c r="H216" s="18">
        <v>436465.38</v>
      </c>
      <c r="I216" s="18">
        <v>7081.98</v>
      </c>
      <c r="J216" s="18"/>
      <c r="K216" s="18"/>
      <c r="L216" s="19">
        <f>SUM(F216:K216)</f>
        <v>2282162.5699999998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128446.11</v>
      </c>
      <c r="G218" s="18">
        <v>63716.4</v>
      </c>
      <c r="H218" s="18">
        <v>15294.029999999999</v>
      </c>
      <c r="I218" s="18">
        <v>13643.44</v>
      </c>
      <c r="J218" s="18"/>
      <c r="K218" s="18">
        <v>1320</v>
      </c>
      <c r="L218" s="19">
        <f>SUM(F218:K218)</f>
        <v>222419.98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328014.40999999997</v>
      </c>
      <c r="G220" s="18">
        <v>162713.35999999999</v>
      </c>
      <c r="H220" s="18">
        <v>108671.67</v>
      </c>
      <c r="I220" s="18">
        <v>7527.74</v>
      </c>
      <c r="J220" s="18">
        <v>421.2</v>
      </c>
      <c r="K220" s="18"/>
      <c r="L220" s="19">
        <f t="shared" ref="L220:L226" si="2">SUM(F220:K220)</f>
        <v>607348.37999999989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97248.83</v>
      </c>
      <c r="G221" s="18">
        <f>48240.82+25402.07</f>
        <v>73642.89</v>
      </c>
      <c r="H221" s="18">
        <v>10318.57</v>
      </c>
      <c r="I221" s="18">
        <v>17288.03</v>
      </c>
      <c r="J221" s="18">
        <v>52528.86</v>
      </c>
      <c r="K221" s="18">
        <v>7495.12</v>
      </c>
      <c r="L221" s="19">
        <f t="shared" si="2"/>
        <v>258522.3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152898.93</v>
      </c>
      <c r="G222" s="18">
        <v>75846.36</v>
      </c>
      <c r="H222" s="18">
        <v>14196.36</v>
      </c>
      <c r="I222" s="18">
        <v>3505.74</v>
      </c>
      <c r="J222" s="18">
        <v>3921.19</v>
      </c>
      <c r="K222" s="18">
        <v>4422.55</v>
      </c>
      <c r="L222" s="19">
        <f t="shared" si="2"/>
        <v>254791.12999999995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470376.03</v>
      </c>
      <c r="G223" s="18">
        <v>233332.63</v>
      </c>
      <c r="H223" s="18">
        <v>3431.28</v>
      </c>
      <c r="I223" s="18">
        <v>3658.9</v>
      </c>
      <c r="J223" s="18">
        <v>623.59</v>
      </c>
      <c r="K223" s="18">
        <v>404</v>
      </c>
      <c r="L223" s="19">
        <f t="shared" si="2"/>
        <v>711826.43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43072.41</v>
      </c>
      <c r="G224" s="18">
        <v>21366.31</v>
      </c>
      <c r="H224" s="18">
        <v>44525.37</v>
      </c>
      <c r="I224" s="18"/>
      <c r="J224" s="18"/>
      <c r="K224" s="18">
        <v>682.3</v>
      </c>
      <c r="L224" s="19">
        <f t="shared" si="2"/>
        <v>109646.39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215029.32</v>
      </c>
      <c r="G225" s="18">
        <v>106666.48</v>
      </c>
      <c r="H225" s="18">
        <v>311546.96000000002</v>
      </c>
      <c r="I225" s="18">
        <v>48345.72</v>
      </c>
      <c r="J225" s="18">
        <v>1338.42</v>
      </c>
      <c r="K225" s="18">
        <v>142.72</v>
      </c>
      <c r="L225" s="19">
        <f t="shared" si="2"/>
        <v>683069.62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7626.39</v>
      </c>
      <c r="G226" s="18">
        <v>3783.11</v>
      </c>
      <c r="H226" s="18">
        <f>444178.92+14844.94</f>
        <v>459023.86</v>
      </c>
      <c r="I226" s="18"/>
      <c r="J226" s="18"/>
      <c r="K226" s="18"/>
      <c r="L226" s="19">
        <f t="shared" si="2"/>
        <v>470433.36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>
        <v>10399.26</v>
      </c>
      <c r="I227" s="18"/>
      <c r="J227" s="18"/>
      <c r="K227" s="18"/>
      <c r="L227" s="19">
        <f>SUM(F227:K227)</f>
        <v>10399.26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6243821.9300000006</v>
      </c>
      <c r="G229" s="41">
        <f>SUM(G215:G228)</f>
        <v>3122684.4199999995</v>
      </c>
      <c r="H229" s="41">
        <f>SUM(H215:H228)</f>
        <v>1438620.97</v>
      </c>
      <c r="I229" s="41">
        <f>SUM(I215:I228)</f>
        <v>168203.37</v>
      </c>
      <c r="J229" s="41">
        <f>SUM(J215:J228)</f>
        <v>64208.899999999994</v>
      </c>
      <c r="K229" s="41">
        <f t="shared" si="3"/>
        <v>14466.689999999997</v>
      </c>
      <c r="L229" s="41">
        <f t="shared" si="3"/>
        <v>11052006.279999999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6095946.8399999999</v>
      </c>
      <c r="G233" s="18">
        <v>3023928.08</v>
      </c>
      <c r="H233" s="18">
        <f>52776.5-1483.47</f>
        <v>51293.03</v>
      </c>
      <c r="I233" s="18">
        <v>266484.99</v>
      </c>
      <c r="J233" s="18">
        <f>70287.43+1483.47</f>
        <v>71770.899999999994</v>
      </c>
      <c r="K233" s="18">
        <v>35523.22</v>
      </c>
      <c r="L233" s="19">
        <f>SUM(F233:K233)</f>
        <v>9544947.0600000005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1582281.21</v>
      </c>
      <c r="G234" s="18">
        <v>784899.33</v>
      </c>
      <c r="H234" s="18">
        <v>1109039.3700000001</v>
      </c>
      <c r="I234" s="18">
        <v>9146.86</v>
      </c>
      <c r="J234" s="18"/>
      <c r="K234" s="18"/>
      <c r="L234" s="19">
        <f>SUM(F234:K234)</f>
        <v>3485366.77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f>58038.7-9000</f>
        <v>49038.7</v>
      </c>
      <c r="I235" s="18"/>
      <c r="J235" s="18"/>
      <c r="K235" s="18"/>
      <c r="L235" s="19">
        <f>SUM(F235:K235)</f>
        <v>49038.7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534388.88</v>
      </c>
      <c r="G236" s="18">
        <v>265086.55</v>
      </c>
      <c r="H236" s="18">
        <f>239149.88-103758.54</f>
        <v>135391.34000000003</v>
      </c>
      <c r="I236" s="18">
        <v>45094.77</v>
      </c>
      <c r="J236" s="18">
        <v>13624.42</v>
      </c>
      <c r="K236" s="18">
        <v>44835.75</v>
      </c>
      <c r="L236" s="19">
        <f>SUM(F236:K236)</f>
        <v>1038421.7100000001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658224.53</v>
      </c>
      <c r="G238" s="18">
        <v>326515.90999999997</v>
      </c>
      <c r="H238" s="18">
        <v>179662.22</v>
      </c>
      <c r="I238" s="18">
        <v>15809.89</v>
      </c>
      <c r="J238" s="18">
        <v>832.91</v>
      </c>
      <c r="K238" s="18"/>
      <c r="L238" s="19">
        <f t="shared" ref="L238:L244" si="4">SUM(F238:K238)</f>
        <v>1181045.4599999997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192305.04</v>
      </c>
      <c r="G239" s="18">
        <f>95393.98+50231.4</f>
        <v>145625.38</v>
      </c>
      <c r="H239" s="18">
        <v>20478.349999999999</v>
      </c>
      <c r="I239" s="18">
        <v>42901.02</v>
      </c>
      <c r="J239" s="18">
        <v>106960.19</v>
      </c>
      <c r="K239" s="18">
        <v>14821.25</v>
      </c>
      <c r="L239" s="19">
        <f t="shared" si="4"/>
        <v>523091.23000000004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302350.53000000003</v>
      </c>
      <c r="G240" s="18">
        <v>149982.65</v>
      </c>
      <c r="H240" s="18">
        <v>28072.63</v>
      </c>
      <c r="I240" s="18">
        <v>6932.44</v>
      </c>
      <c r="J240" s="18">
        <v>7753.97</v>
      </c>
      <c r="K240" s="18">
        <v>8745.3799999999992</v>
      </c>
      <c r="L240" s="19">
        <f t="shared" si="4"/>
        <v>503837.60000000003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1236468.95</v>
      </c>
      <c r="G241" s="18">
        <v>613357.25</v>
      </c>
      <c r="H241" s="18">
        <v>12713.07</v>
      </c>
      <c r="I241" s="18">
        <v>8866.67</v>
      </c>
      <c r="J241" s="18">
        <v>1588.7</v>
      </c>
      <c r="K241" s="18">
        <v>39512.959999999999</v>
      </c>
      <c r="L241" s="19">
        <f t="shared" si="4"/>
        <v>1912507.5999999999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85173.7</v>
      </c>
      <c r="G242" s="18">
        <v>42250.879999999997</v>
      </c>
      <c r="H242" s="18">
        <v>88046.86</v>
      </c>
      <c r="I242" s="18"/>
      <c r="J242" s="18"/>
      <c r="K242" s="18">
        <v>1349.21</v>
      </c>
      <c r="L242" s="19">
        <f t="shared" si="4"/>
        <v>216820.65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412726.5</v>
      </c>
      <c r="G243" s="18">
        <v>204735.26</v>
      </c>
      <c r="H243" s="18">
        <v>616069.64</v>
      </c>
      <c r="I243" s="18">
        <v>451033.45</v>
      </c>
      <c r="J243" s="18">
        <v>2646.67</v>
      </c>
      <c r="K243" s="18">
        <v>282.23</v>
      </c>
      <c r="L243" s="19">
        <f t="shared" si="4"/>
        <v>1687493.7499999998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15080.84</v>
      </c>
      <c r="G244" s="18">
        <v>7480.93</v>
      </c>
      <c r="H244" s="18">
        <f>869444.66+103758.54+9000</f>
        <v>982203.20000000007</v>
      </c>
      <c r="I244" s="18"/>
      <c r="J244" s="18"/>
      <c r="K244" s="18"/>
      <c r="L244" s="19">
        <f t="shared" si="4"/>
        <v>1004764.9700000001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>
        <v>20564.060000000001</v>
      </c>
      <c r="I245" s="18"/>
      <c r="J245" s="18"/>
      <c r="K245" s="18"/>
      <c r="L245" s="19">
        <f>SUM(F245:K245)</f>
        <v>20564.060000000001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11114947.019999996</v>
      </c>
      <c r="G247" s="41">
        <f t="shared" si="5"/>
        <v>5563862.2199999997</v>
      </c>
      <c r="H247" s="41">
        <f t="shared" si="5"/>
        <v>3292572.4700000007</v>
      </c>
      <c r="I247" s="41">
        <f t="shared" si="5"/>
        <v>846270.09000000008</v>
      </c>
      <c r="J247" s="41">
        <f t="shared" si="5"/>
        <v>205177.76</v>
      </c>
      <c r="K247" s="41">
        <f t="shared" si="5"/>
        <v>145070</v>
      </c>
      <c r="L247" s="41">
        <f t="shared" si="5"/>
        <v>21167899.559999995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3690.81</v>
      </c>
      <c r="G251" s="18">
        <v>1830.85</v>
      </c>
      <c r="H251" s="18"/>
      <c r="I251" s="18">
        <v>88.14</v>
      </c>
      <c r="J251" s="18"/>
      <c r="K251" s="18"/>
      <c r="L251" s="19">
        <f t="shared" si="6"/>
        <v>5609.8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3690.81</v>
      </c>
      <c r="G256" s="41">
        <f t="shared" si="7"/>
        <v>1830.85</v>
      </c>
      <c r="H256" s="41">
        <f t="shared" si="7"/>
        <v>0</v>
      </c>
      <c r="I256" s="41">
        <f t="shared" si="7"/>
        <v>88.14</v>
      </c>
      <c r="J256" s="41">
        <f t="shared" si="7"/>
        <v>0</v>
      </c>
      <c r="K256" s="41">
        <f t="shared" si="7"/>
        <v>0</v>
      </c>
      <c r="L256" s="41">
        <f>SUM(F256:K256)</f>
        <v>5609.8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33929948.030000001</v>
      </c>
      <c r="G257" s="41">
        <f t="shared" si="8"/>
        <v>16981124.780000001</v>
      </c>
      <c r="H257" s="41">
        <f t="shared" si="8"/>
        <v>8167657.2600000007</v>
      </c>
      <c r="I257" s="41">
        <f t="shared" si="8"/>
        <v>2049777.3399999999</v>
      </c>
      <c r="J257" s="41">
        <f t="shared" si="8"/>
        <v>472913.72000000009</v>
      </c>
      <c r="K257" s="41">
        <f t="shared" si="8"/>
        <v>204045.24</v>
      </c>
      <c r="L257" s="41">
        <f t="shared" si="8"/>
        <v>61805466.36999999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2570000</v>
      </c>
      <c r="L260" s="19">
        <f>SUM(F260:K260)</f>
        <v>2570000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1262433.75</v>
      </c>
      <c r="L261" s="19">
        <f>SUM(F261:K261)</f>
        <v>1262433.75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1.1499999999999999</v>
      </c>
      <c r="L263" s="19">
        <f>SUM(F263:K263)</f>
        <v>1.1499999999999999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9151</v>
      </c>
      <c r="L268" s="19">
        <f t="shared" si="9"/>
        <v>9151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3841585.9</v>
      </c>
      <c r="L270" s="41">
        <f t="shared" si="9"/>
        <v>3841585.9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33929948.030000001</v>
      </c>
      <c r="G271" s="42">
        <f t="shared" si="11"/>
        <v>16981124.780000001</v>
      </c>
      <c r="H271" s="42">
        <f t="shared" si="11"/>
        <v>8167657.2600000007</v>
      </c>
      <c r="I271" s="42">
        <f t="shared" si="11"/>
        <v>2049777.3399999999</v>
      </c>
      <c r="J271" s="42">
        <f t="shared" si="11"/>
        <v>472913.72000000009</v>
      </c>
      <c r="K271" s="42">
        <f t="shared" si="11"/>
        <v>4045631.1399999997</v>
      </c>
      <c r="L271" s="42">
        <f t="shared" si="11"/>
        <v>65647052.269999988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141990.46</v>
      </c>
      <c r="G276" s="18">
        <v>7425.1</v>
      </c>
      <c r="H276" s="18">
        <v>2862.5</v>
      </c>
      <c r="I276" s="18"/>
      <c r="J276" s="18">
        <v>1869</v>
      </c>
      <c r="K276" s="18"/>
      <c r="L276" s="19">
        <f>SUM(F276:K276)</f>
        <v>154147.06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288029.2</v>
      </c>
      <c r="G277" s="18"/>
      <c r="H277" s="18">
        <v>5003.1400000000003</v>
      </c>
      <c r="I277" s="18"/>
      <c r="J277" s="18"/>
      <c r="K277" s="18"/>
      <c r="L277" s="19">
        <f>SUM(F277:K277)</f>
        <v>293032.34000000003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>
        <f>1214.54</f>
        <v>1214.54</v>
      </c>
      <c r="I279" s="18"/>
      <c r="J279" s="18"/>
      <c r="K279" s="18"/>
      <c r="L279" s="19">
        <f>SUM(F279:K279)</f>
        <v>1214.54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151418.82</v>
      </c>
      <c r="G281" s="18"/>
      <c r="H281" s="18">
        <v>11400.73</v>
      </c>
      <c r="I281" s="18">
        <v>1236.4000000000001</v>
      </c>
      <c r="J281" s="18"/>
      <c r="K281" s="18"/>
      <c r="L281" s="19">
        <f t="shared" ref="L281:L287" si="12">SUM(F281:K281)</f>
        <v>164055.95000000001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15920.58</v>
      </c>
      <c r="G282" s="18"/>
      <c r="H282" s="18">
        <v>402.78</v>
      </c>
      <c r="I282" s="18">
        <v>1751.06</v>
      </c>
      <c r="J282" s="18"/>
      <c r="K282" s="18">
        <v>1095.57</v>
      </c>
      <c r="L282" s="19">
        <f t="shared" si="12"/>
        <v>19169.990000000002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f>1293.46+6356.9</f>
        <v>7650.36</v>
      </c>
      <c r="G283" s="18">
        <f>95.46+486.04</f>
        <v>581.5</v>
      </c>
      <c r="H283" s="18"/>
      <c r="I283" s="18"/>
      <c r="J283" s="18"/>
      <c r="K283" s="18"/>
      <c r="L283" s="19">
        <f t="shared" si="12"/>
        <v>8231.86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>
        <v>11750</v>
      </c>
      <c r="I286" s="18"/>
      <c r="J286" s="18">
        <v>3339</v>
      </c>
      <c r="K286" s="18"/>
      <c r="L286" s="19">
        <f t="shared" si="12"/>
        <v>15089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1487.2</v>
      </c>
      <c r="I287" s="18"/>
      <c r="J287" s="18"/>
      <c r="K287" s="18"/>
      <c r="L287" s="19">
        <f t="shared" si="12"/>
        <v>1487.2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605009.41999999993</v>
      </c>
      <c r="G290" s="42">
        <f t="shared" si="13"/>
        <v>8006.6</v>
      </c>
      <c r="H290" s="42">
        <f t="shared" si="13"/>
        <v>34120.89</v>
      </c>
      <c r="I290" s="42">
        <f t="shared" si="13"/>
        <v>2987.46</v>
      </c>
      <c r="J290" s="42">
        <f t="shared" si="13"/>
        <v>5208</v>
      </c>
      <c r="K290" s="42">
        <f t="shared" si="13"/>
        <v>1095.57</v>
      </c>
      <c r="L290" s="41">
        <f t="shared" si="13"/>
        <v>656427.93999999994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98402.37</v>
      </c>
      <c r="G296" s="18"/>
      <c r="H296" s="18">
        <v>1709.27</v>
      </c>
      <c r="I296" s="18"/>
      <c r="J296" s="18"/>
      <c r="K296" s="18"/>
      <c r="L296" s="19">
        <f>SUM(F296:K296)</f>
        <v>100111.64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>
        <v>414.94</v>
      </c>
      <c r="I298" s="18"/>
      <c r="J298" s="18"/>
      <c r="K298" s="18"/>
      <c r="L298" s="19">
        <f>SUM(F298:K298)</f>
        <v>414.94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51730.76</v>
      </c>
      <c r="G300" s="18"/>
      <c r="H300" s="18">
        <v>3894.95</v>
      </c>
      <c r="I300" s="18"/>
      <c r="J300" s="18"/>
      <c r="K300" s="18"/>
      <c r="L300" s="19">
        <f t="shared" ref="L300:L306" si="14">SUM(F300:K300)</f>
        <v>55625.71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f>5439.11+6806.14</f>
        <v>12245.25</v>
      </c>
      <c r="G301" s="18"/>
      <c r="H301" s="18">
        <v>137.61000000000001</v>
      </c>
      <c r="I301" s="18">
        <v>598.23</v>
      </c>
      <c r="J301" s="18"/>
      <c r="K301" s="18">
        <v>374.29</v>
      </c>
      <c r="L301" s="19">
        <f t="shared" si="14"/>
        <v>13355.380000000001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441.9</v>
      </c>
      <c r="G302" s="18">
        <v>32.61</v>
      </c>
      <c r="H302" s="18"/>
      <c r="I302" s="18"/>
      <c r="J302" s="18"/>
      <c r="K302" s="18"/>
      <c r="L302" s="19">
        <f t="shared" si="14"/>
        <v>474.51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>
        <v>508.09</v>
      </c>
      <c r="I306" s="18"/>
      <c r="J306" s="18"/>
      <c r="K306" s="18"/>
      <c r="L306" s="19">
        <f t="shared" si="14"/>
        <v>508.09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162820.28</v>
      </c>
      <c r="G309" s="42">
        <f t="shared" si="15"/>
        <v>32.61</v>
      </c>
      <c r="H309" s="42">
        <f t="shared" si="15"/>
        <v>6664.86</v>
      </c>
      <c r="I309" s="42">
        <f t="shared" si="15"/>
        <v>598.23</v>
      </c>
      <c r="J309" s="42">
        <f t="shared" si="15"/>
        <v>0</v>
      </c>
      <c r="K309" s="42">
        <f t="shared" si="15"/>
        <v>374.29</v>
      </c>
      <c r="L309" s="41">
        <f t="shared" si="15"/>
        <v>170490.27000000002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194586.11</v>
      </c>
      <c r="G315" s="18"/>
      <c r="H315" s="18">
        <v>3380.01</v>
      </c>
      <c r="I315" s="18"/>
      <c r="J315" s="18"/>
      <c r="K315" s="18"/>
      <c r="L315" s="19">
        <f>SUM(F315:K315)</f>
        <v>197966.12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>
        <v>820.52</v>
      </c>
      <c r="I317" s="18"/>
      <c r="J317" s="18"/>
      <c r="K317" s="18"/>
      <c r="L317" s="19">
        <f>SUM(F317:K317)</f>
        <v>820.52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102295.18</v>
      </c>
      <c r="G319" s="18"/>
      <c r="H319" s="18">
        <v>7702.08</v>
      </c>
      <c r="I319" s="18"/>
      <c r="J319" s="18"/>
      <c r="K319" s="18"/>
      <c r="L319" s="19">
        <f t="shared" ref="L319:L325" si="16">SUM(F319:K319)</f>
        <v>109997.26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10755.59</v>
      </c>
      <c r="G320" s="18"/>
      <c r="H320" s="18">
        <v>272.11</v>
      </c>
      <c r="I320" s="18">
        <v>1182.98</v>
      </c>
      <c r="J320" s="18"/>
      <c r="K320" s="18">
        <v>740.14</v>
      </c>
      <c r="L320" s="19">
        <f t="shared" si="16"/>
        <v>12950.82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873.84</v>
      </c>
      <c r="G321" s="18">
        <v>64.489999999999995</v>
      </c>
      <c r="H321" s="18"/>
      <c r="I321" s="18"/>
      <c r="J321" s="18"/>
      <c r="K321" s="18"/>
      <c r="L321" s="19">
        <f t="shared" si="16"/>
        <v>938.33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>
        <v>1004.72</v>
      </c>
      <c r="I325" s="18"/>
      <c r="J325" s="18"/>
      <c r="K325" s="18"/>
      <c r="L325" s="19">
        <f t="shared" si="16"/>
        <v>1004.72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308510.72000000003</v>
      </c>
      <c r="G328" s="42">
        <f t="shared" si="17"/>
        <v>64.489999999999995</v>
      </c>
      <c r="H328" s="42">
        <f t="shared" si="17"/>
        <v>13179.44</v>
      </c>
      <c r="I328" s="42">
        <f t="shared" si="17"/>
        <v>1182.98</v>
      </c>
      <c r="J328" s="42">
        <f t="shared" si="17"/>
        <v>0</v>
      </c>
      <c r="K328" s="42">
        <f t="shared" si="17"/>
        <v>740.14</v>
      </c>
      <c r="L328" s="41">
        <f t="shared" si="17"/>
        <v>323677.76999999996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>
        <v>540</v>
      </c>
      <c r="I332" s="18"/>
      <c r="J332" s="18">
        <f>1139</f>
        <v>1139</v>
      </c>
      <c r="K332" s="18"/>
      <c r="L332" s="19">
        <f t="shared" ref="L332:L337" si="18">SUM(F332:K332)</f>
        <v>1679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5000</v>
      </c>
      <c r="G333" s="18"/>
      <c r="H333" s="18"/>
      <c r="I333" s="18"/>
      <c r="J333" s="18"/>
      <c r="K333" s="18"/>
      <c r="L333" s="19">
        <f t="shared" si="18"/>
        <v>5000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5000</v>
      </c>
      <c r="G337" s="41">
        <f t="shared" si="19"/>
        <v>0</v>
      </c>
      <c r="H337" s="41">
        <f t="shared" si="19"/>
        <v>540</v>
      </c>
      <c r="I337" s="41">
        <f t="shared" si="19"/>
        <v>0</v>
      </c>
      <c r="J337" s="41">
        <f t="shared" si="19"/>
        <v>1139</v>
      </c>
      <c r="K337" s="41">
        <f t="shared" si="19"/>
        <v>0</v>
      </c>
      <c r="L337" s="41">
        <f t="shared" si="18"/>
        <v>6679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1081340.42</v>
      </c>
      <c r="G338" s="41">
        <f t="shared" si="20"/>
        <v>8103.7</v>
      </c>
      <c r="H338" s="41">
        <f t="shared" si="20"/>
        <v>54505.19</v>
      </c>
      <c r="I338" s="41">
        <f t="shared" si="20"/>
        <v>4768.67</v>
      </c>
      <c r="J338" s="41">
        <f t="shared" si="20"/>
        <v>6347</v>
      </c>
      <c r="K338" s="41">
        <f t="shared" si="20"/>
        <v>2210</v>
      </c>
      <c r="L338" s="41">
        <f t="shared" si="20"/>
        <v>1157274.98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1081340.42</v>
      </c>
      <c r="G352" s="41">
        <f>G338</f>
        <v>8103.7</v>
      </c>
      <c r="H352" s="41">
        <f>H338</f>
        <v>54505.19</v>
      </c>
      <c r="I352" s="41">
        <f>I338</f>
        <v>4768.67</v>
      </c>
      <c r="J352" s="41">
        <f>J338</f>
        <v>6347</v>
      </c>
      <c r="K352" s="47">
        <f>K338+K351</f>
        <v>2210</v>
      </c>
      <c r="L352" s="41">
        <f>L338+L351</f>
        <v>1157274.98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f>82599.18+192020.88</f>
        <v>274620.06</v>
      </c>
      <c r="G358" s="18">
        <v>61520.83</v>
      </c>
      <c r="H358" s="18">
        <f>9772.68+23452.86</f>
        <v>33225.54</v>
      </c>
      <c r="I358" s="18">
        <f>2375.99+366850.99</f>
        <v>369226.98</v>
      </c>
      <c r="J358" s="18">
        <f>10503.51+6843</f>
        <v>17346.510000000002</v>
      </c>
      <c r="K358" s="18">
        <v>1641.06</v>
      </c>
      <c r="L358" s="13">
        <f>SUM(F358:K358)</f>
        <v>757580.98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f>28219.2+70700.11</f>
        <v>98919.31</v>
      </c>
      <c r="G359" s="18">
        <v>21018</v>
      </c>
      <c r="H359" s="18">
        <f>3338.74+5284.25</f>
        <v>8622.99</v>
      </c>
      <c r="I359" s="18">
        <f>811.73+183406.68</f>
        <v>184218.41</v>
      </c>
      <c r="J359" s="18">
        <f>3588.42+3311.5</f>
        <v>6899.92</v>
      </c>
      <c r="K359" s="18">
        <v>560.65</v>
      </c>
      <c r="L359" s="19">
        <f>SUM(F359:K359)</f>
        <v>320239.28000000003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f>55802.17+152791.45</f>
        <v>208593.62</v>
      </c>
      <c r="G360" s="18">
        <v>41562.1</v>
      </c>
      <c r="H360" s="18">
        <f>6602.2+7237.7</f>
        <v>13839.9</v>
      </c>
      <c r="I360" s="18">
        <f>1605.17+318846.54</f>
        <v>320451.70999999996</v>
      </c>
      <c r="J360" s="18">
        <f>7095.94+4434</f>
        <v>11529.939999999999</v>
      </c>
      <c r="K360" s="18">
        <v>1108.67</v>
      </c>
      <c r="L360" s="19">
        <f>SUM(F360:K360)</f>
        <v>597085.93999999994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582132.99</v>
      </c>
      <c r="G362" s="47">
        <f t="shared" si="22"/>
        <v>124100.93</v>
      </c>
      <c r="H362" s="47">
        <f t="shared" si="22"/>
        <v>55688.43</v>
      </c>
      <c r="I362" s="47">
        <f t="shared" si="22"/>
        <v>873897.1</v>
      </c>
      <c r="J362" s="47">
        <f t="shared" si="22"/>
        <v>35776.369999999995</v>
      </c>
      <c r="K362" s="47">
        <f t="shared" si="22"/>
        <v>3310.38</v>
      </c>
      <c r="L362" s="47">
        <f t="shared" si="22"/>
        <v>1674906.2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330396.67</v>
      </c>
      <c r="G367" s="18">
        <v>167188.71</v>
      </c>
      <c r="H367" s="18">
        <v>298928.78000000003</v>
      </c>
      <c r="I367" s="56">
        <f>SUM(F367:H367)</f>
        <v>796514.16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38830.31</v>
      </c>
      <c r="G368" s="63">
        <v>17029.7</v>
      </c>
      <c r="H368" s="63">
        <v>21522.93</v>
      </c>
      <c r="I368" s="56">
        <f>SUM(F368:H368)</f>
        <v>77382.94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369226.98</v>
      </c>
      <c r="G369" s="47">
        <f>SUM(G367:G368)</f>
        <v>184218.41</v>
      </c>
      <c r="H369" s="47">
        <f>SUM(H367:H368)</f>
        <v>320451.71000000002</v>
      </c>
      <c r="I369" s="47">
        <f>SUM(I367:I368)</f>
        <v>873897.10000000009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>
        <v>-153.01</v>
      </c>
      <c r="I392" s="18"/>
      <c r="J392" s="24" t="s">
        <v>286</v>
      </c>
      <c r="K392" s="24" t="s">
        <v>286</v>
      </c>
      <c r="L392" s="56">
        <f t="shared" si="25"/>
        <v>-153.01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-153.01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-153.01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-153.01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-153.01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491000</v>
      </c>
      <c r="G442" s="18"/>
      <c r="H442" s="18"/>
      <c r="I442" s="56">
        <f t="shared" si="33"/>
        <v>491000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491000</v>
      </c>
      <c r="G446" s="13">
        <f>SUM(G439:G445)</f>
        <v>0</v>
      </c>
      <c r="H446" s="13">
        <f>SUM(H439:H445)</f>
        <v>0</v>
      </c>
      <c r="I446" s="13">
        <f>SUM(I439:I445)</f>
        <v>491000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491000</v>
      </c>
      <c r="G459" s="18"/>
      <c r="H459" s="18"/>
      <c r="I459" s="56">
        <f t="shared" si="34"/>
        <v>491000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491000</v>
      </c>
      <c r="G460" s="83">
        <f>SUM(G454:G459)</f>
        <v>0</v>
      </c>
      <c r="H460" s="83">
        <f>SUM(H454:H459)</f>
        <v>0</v>
      </c>
      <c r="I460" s="83">
        <f>SUM(I454:I459)</f>
        <v>491000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491000</v>
      </c>
      <c r="G461" s="42">
        <f>G452+G460</f>
        <v>0</v>
      </c>
      <c r="H461" s="42">
        <f>H452+H460</f>
        <v>0</v>
      </c>
      <c r="I461" s="42">
        <f>I452+I460</f>
        <v>491000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7390978.3899999997</v>
      </c>
      <c r="G465" s="18">
        <v>467104.36</v>
      </c>
      <c r="H465" s="18">
        <v>0</v>
      </c>
      <c r="I465" s="18"/>
      <c r="J465" s="18">
        <v>491153.01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62592746.810000002</v>
      </c>
      <c r="G468" s="18">
        <v>1762502.28</v>
      </c>
      <c r="H468" s="18">
        <v>1157274.98</v>
      </c>
      <c r="I468" s="18"/>
      <c r="J468" s="18">
        <v>-153.01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62592746.810000002</v>
      </c>
      <c r="G470" s="53">
        <f>SUM(G468:G469)</f>
        <v>1762502.28</v>
      </c>
      <c r="H470" s="53">
        <f>SUM(H468:H469)</f>
        <v>1157274.98</v>
      </c>
      <c r="I470" s="53">
        <f>SUM(I468:I469)</f>
        <v>0</v>
      </c>
      <c r="J470" s="53">
        <f>SUM(J468:J469)</f>
        <v>-153.01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65647052.270000003</v>
      </c>
      <c r="G472" s="18">
        <v>1674906.2</v>
      </c>
      <c r="H472" s="18">
        <v>1157274.98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65647052.270000003</v>
      </c>
      <c r="G474" s="53">
        <f>SUM(G472:G473)</f>
        <v>1674906.2</v>
      </c>
      <c r="H474" s="53">
        <f>SUM(H472:H473)</f>
        <v>1157274.98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4336672.93</v>
      </c>
      <c r="G476" s="53">
        <f>(G465+G470)- G474</f>
        <v>554700.44000000018</v>
      </c>
      <c r="H476" s="53">
        <f>(H465+H470)- H474</f>
        <v>0</v>
      </c>
      <c r="I476" s="53">
        <f>(I465+I470)- I474</f>
        <v>0</v>
      </c>
      <c r="J476" s="53">
        <f>(J465+J470)- J474</f>
        <v>491000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10</v>
      </c>
      <c r="G490" s="154">
        <v>20</v>
      </c>
      <c r="H490" s="154">
        <v>10</v>
      </c>
      <c r="I490" s="154">
        <v>15</v>
      </c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 t="s">
        <v>914</v>
      </c>
      <c r="H491" s="154" t="s">
        <v>916</v>
      </c>
      <c r="I491" s="154" t="s">
        <v>918</v>
      </c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913</v>
      </c>
      <c r="G492" s="155" t="s">
        <v>915</v>
      </c>
      <c r="H492" s="154" t="s">
        <v>917</v>
      </c>
      <c r="I492" s="154" t="s">
        <v>919</v>
      </c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3935000</v>
      </c>
      <c r="G493" s="18">
        <v>800000</v>
      </c>
      <c r="H493" s="18">
        <v>2681350</v>
      </c>
      <c r="I493" s="18">
        <v>32715000</v>
      </c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3.34</v>
      </c>
      <c r="G494" s="18">
        <v>4.5199999999999996</v>
      </c>
      <c r="H494" s="18">
        <v>4.28</v>
      </c>
      <c r="I494" s="18">
        <v>2.63</v>
      </c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765000</v>
      </c>
      <c r="G495" s="18">
        <v>400000</v>
      </c>
      <c r="H495" s="18">
        <v>265000</v>
      </c>
      <c r="I495" s="18">
        <v>28120000</v>
      </c>
      <c r="J495" s="18"/>
      <c r="K495" s="53">
        <f>SUM(F495:J495)</f>
        <v>29550000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385000</v>
      </c>
      <c r="G497" s="18">
        <v>40000</v>
      </c>
      <c r="H497" s="18">
        <v>265000</v>
      </c>
      <c r="I497" s="18">
        <v>1880000</v>
      </c>
      <c r="J497" s="18"/>
      <c r="K497" s="53">
        <f t="shared" si="35"/>
        <v>2570000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f>F495-F497</f>
        <v>380000</v>
      </c>
      <c r="G498" s="204">
        <f>G495-G497</f>
        <v>360000</v>
      </c>
      <c r="H498" s="204">
        <f>H495-H497</f>
        <v>0</v>
      </c>
      <c r="I498" s="204">
        <f>I495-I497</f>
        <v>26240000</v>
      </c>
      <c r="J498" s="204"/>
      <c r="K498" s="205">
        <f t="shared" si="35"/>
        <v>26980000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8375</v>
      </c>
      <c r="G499" s="18">
        <v>74165</v>
      </c>
      <c r="H499" s="18">
        <v>0</v>
      </c>
      <c r="I499" s="18">
        <v>8155625</v>
      </c>
      <c r="J499" s="18"/>
      <c r="K499" s="53">
        <f t="shared" si="35"/>
        <v>8238165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388375</v>
      </c>
      <c r="G500" s="42">
        <f>SUM(G498:G499)</f>
        <v>434165</v>
      </c>
      <c r="H500" s="42">
        <f>SUM(H498:H499)</f>
        <v>0</v>
      </c>
      <c r="I500" s="42">
        <f>SUM(I498:I499)</f>
        <v>34395625</v>
      </c>
      <c r="J500" s="42">
        <f>SUM(J498:J499)</f>
        <v>0</v>
      </c>
      <c r="K500" s="42">
        <f t="shared" si="35"/>
        <v>35218165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380000</v>
      </c>
      <c r="G501" s="204">
        <v>40000</v>
      </c>
      <c r="H501" s="204">
        <v>0</v>
      </c>
      <c r="I501" s="204">
        <v>1795000</v>
      </c>
      <c r="J501" s="204"/>
      <c r="K501" s="205">
        <f t="shared" si="35"/>
        <v>2215000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8375</v>
      </c>
      <c r="G502" s="18">
        <v>15430</v>
      </c>
      <c r="H502" s="18">
        <v>0</v>
      </c>
      <c r="I502" s="18">
        <v>1168925</v>
      </c>
      <c r="J502" s="18"/>
      <c r="K502" s="53">
        <f t="shared" si="35"/>
        <v>1192730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388375</v>
      </c>
      <c r="G503" s="42">
        <f>SUM(G501:G502)</f>
        <v>55430</v>
      </c>
      <c r="H503" s="42">
        <f>SUM(H501:H502)</f>
        <v>0</v>
      </c>
      <c r="I503" s="42">
        <f>SUM(I501:I502)</f>
        <v>2963925</v>
      </c>
      <c r="J503" s="42">
        <f>SUM(J501:J502)</f>
        <v>0</v>
      </c>
      <c r="K503" s="42">
        <f t="shared" si="35"/>
        <v>3407730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3540593.81</v>
      </c>
      <c r="G521" s="18">
        <v>660843.62</v>
      </c>
      <c r="H521" s="18">
        <v>407649.99</v>
      </c>
      <c r="I521" s="18">
        <v>17182.89</v>
      </c>
      <c r="J521" s="18"/>
      <c r="K521" s="18"/>
      <c r="L521" s="88">
        <f>SUM(F521:K521)</f>
        <v>4626270.3099999996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1250111.28</v>
      </c>
      <c r="G522" s="18">
        <v>233330.37</v>
      </c>
      <c r="H522" s="18">
        <v>439585.65</v>
      </c>
      <c r="I522" s="18">
        <v>3882.66</v>
      </c>
      <c r="J522" s="18"/>
      <c r="K522" s="18"/>
      <c r="L522" s="88">
        <f>SUM(F522:K522)</f>
        <v>1926909.9599999997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1772569.65</v>
      </c>
      <c r="G523" s="18">
        <v>330846.01</v>
      </c>
      <c r="H523" s="18">
        <v>1112419.3799999999</v>
      </c>
      <c r="I523" s="18">
        <v>9146.86</v>
      </c>
      <c r="J523" s="18"/>
      <c r="K523" s="18"/>
      <c r="L523" s="88">
        <f>SUM(F523:K523)</f>
        <v>3224981.9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6563274.7400000002</v>
      </c>
      <c r="G524" s="108">
        <f t="shared" ref="G524:L524" si="36">SUM(G521:G523)</f>
        <v>1225020</v>
      </c>
      <c r="H524" s="108">
        <f t="shared" si="36"/>
        <v>1959655.02</v>
      </c>
      <c r="I524" s="108">
        <f t="shared" si="36"/>
        <v>30212.41</v>
      </c>
      <c r="J524" s="108">
        <f t="shared" si="36"/>
        <v>0</v>
      </c>
      <c r="K524" s="108">
        <f t="shared" si="36"/>
        <v>0</v>
      </c>
      <c r="L524" s="89">
        <f t="shared" si="36"/>
        <v>9778162.1699999999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684468.06</v>
      </c>
      <c r="G526" s="18">
        <v>42836.36</v>
      </c>
      <c r="H526" s="18">
        <v>491528.34</v>
      </c>
      <c r="I526" s="18">
        <v>8933.2999999999993</v>
      </c>
      <c r="J526" s="18"/>
      <c r="K526" s="18"/>
      <c r="L526" s="88">
        <f>SUM(F526:K526)</f>
        <v>1227766.06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111899.33</v>
      </c>
      <c r="G527" s="18">
        <v>7003.04</v>
      </c>
      <c r="H527" s="18">
        <v>94610.67</v>
      </c>
      <c r="I527" s="18">
        <v>1852.24</v>
      </c>
      <c r="J527" s="18"/>
      <c r="K527" s="18"/>
      <c r="L527" s="88">
        <f>SUM(F527:K527)</f>
        <v>215365.27999999997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f>165811.1</f>
        <v>165811.1</v>
      </c>
      <c r="G528" s="18">
        <v>10377.030000000001</v>
      </c>
      <c r="H528" s="18">
        <v>157206.03</v>
      </c>
      <c r="I528" s="18">
        <v>3662.71</v>
      </c>
      <c r="J528" s="18"/>
      <c r="K528" s="18"/>
      <c r="L528" s="88">
        <f>SUM(F528:K528)</f>
        <v>337056.87000000005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962178.49</v>
      </c>
      <c r="G529" s="89">
        <f t="shared" ref="G529:L529" si="37">SUM(G526:G528)</f>
        <v>60216.43</v>
      </c>
      <c r="H529" s="89">
        <f t="shared" si="37"/>
        <v>743345.04</v>
      </c>
      <c r="I529" s="89">
        <f t="shared" si="37"/>
        <v>14448.25</v>
      </c>
      <c r="J529" s="89">
        <f t="shared" si="37"/>
        <v>0</v>
      </c>
      <c r="K529" s="89">
        <f t="shared" si="37"/>
        <v>0</v>
      </c>
      <c r="L529" s="89">
        <f t="shared" si="37"/>
        <v>1780188.2100000002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147807.26999999999</v>
      </c>
      <c r="G531" s="18">
        <v>3932.79</v>
      </c>
      <c r="H531" s="18">
        <v>1399.14</v>
      </c>
      <c r="I531" s="18">
        <v>414.54</v>
      </c>
      <c r="J531" s="18">
        <v>11477.54</v>
      </c>
      <c r="K531" s="18">
        <v>1907.75</v>
      </c>
      <c r="L531" s="88">
        <f>SUM(F531:K531)</f>
        <v>166939.03000000003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50496.91</v>
      </c>
      <c r="G532" s="18">
        <v>1343.6</v>
      </c>
      <c r="H532" s="18">
        <v>478</v>
      </c>
      <c r="I532" s="18">
        <v>141.62</v>
      </c>
      <c r="J532" s="18">
        <v>3921.19</v>
      </c>
      <c r="K532" s="18">
        <v>651.76</v>
      </c>
      <c r="L532" s="88">
        <f>SUM(F532:K532)</f>
        <v>57033.080000000009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124237.95</v>
      </c>
      <c r="G533" s="18">
        <v>3305.67</v>
      </c>
      <c r="H533" s="18">
        <v>945.23</v>
      </c>
      <c r="I533" s="18">
        <v>280.05</v>
      </c>
      <c r="J533" s="18">
        <v>7753.97</v>
      </c>
      <c r="K533" s="18">
        <v>1288.83</v>
      </c>
      <c r="L533" s="88">
        <f>SUM(F533:K533)</f>
        <v>137811.69999999998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322542.13</v>
      </c>
      <c r="G534" s="89">
        <f t="shared" ref="G534:L534" si="38">SUM(G531:G533)</f>
        <v>8582.06</v>
      </c>
      <c r="H534" s="89">
        <f t="shared" si="38"/>
        <v>2822.37</v>
      </c>
      <c r="I534" s="89">
        <f t="shared" si="38"/>
        <v>836.21</v>
      </c>
      <c r="J534" s="89">
        <f t="shared" si="38"/>
        <v>23152.7</v>
      </c>
      <c r="K534" s="89">
        <f t="shared" si="38"/>
        <v>3848.34</v>
      </c>
      <c r="L534" s="89">
        <f t="shared" si="38"/>
        <v>361783.81000000006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5887.82</v>
      </c>
      <c r="I536" s="18"/>
      <c r="J536" s="18"/>
      <c r="K536" s="18"/>
      <c r="L536" s="88">
        <f>SUM(F536:K536)</f>
        <v>5887.82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2011.52</v>
      </c>
      <c r="I537" s="18"/>
      <c r="J537" s="18"/>
      <c r="K537" s="18"/>
      <c r="L537" s="88">
        <f>SUM(F537:K537)</f>
        <v>2011.52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3977.68</v>
      </c>
      <c r="I538" s="18"/>
      <c r="J538" s="18"/>
      <c r="K538" s="18"/>
      <c r="L538" s="88">
        <f>SUM(F538:K538)</f>
        <v>3977.68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11877.02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11877.02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v>6679.99</v>
      </c>
      <c r="G541" s="18">
        <v>3313.64</v>
      </c>
      <c r="H541" s="18">
        <v>385116.37</v>
      </c>
      <c r="I541" s="18"/>
      <c r="J541" s="18"/>
      <c r="K541" s="18"/>
      <c r="L541" s="88">
        <f>SUM(F541:K541)</f>
        <v>395110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>
        <v>2282.15</v>
      </c>
      <c r="G542" s="18">
        <v>1132.07</v>
      </c>
      <c r="H542" s="18">
        <v>131571.25</v>
      </c>
      <c r="I542" s="18"/>
      <c r="J542" s="18"/>
      <c r="K542" s="18"/>
      <c r="L542" s="88">
        <f>SUM(F542:K542)</f>
        <v>134985.47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v>4512.8500000000004</v>
      </c>
      <c r="G543" s="18">
        <v>2238.62</v>
      </c>
      <c r="H543" s="18">
        <v>260176.03</v>
      </c>
      <c r="I543" s="18"/>
      <c r="J543" s="18"/>
      <c r="K543" s="18"/>
      <c r="L543" s="88">
        <f>SUM(F543:K543)</f>
        <v>266927.5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13474.99</v>
      </c>
      <c r="G544" s="193">
        <f t="shared" ref="G544:L544" si="40">SUM(G541:G543)</f>
        <v>6684.33</v>
      </c>
      <c r="H544" s="193">
        <f t="shared" si="40"/>
        <v>776863.65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797022.97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7861470.3500000006</v>
      </c>
      <c r="G545" s="89">
        <f t="shared" ref="G545:L545" si="41">G524+G529+G534+G539+G544</f>
        <v>1300502.82</v>
      </c>
      <c r="H545" s="89">
        <f t="shared" si="41"/>
        <v>3494563.1</v>
      </c>
      <c r="I545" s="89">
        <f t="shared" si="41"/>
        <v>45496.87</v>
      </c>
      <c r="J545" s="89">
        <f t="shared" si="41"/>
        <v>23152.7</v>
      </c>
      <c r="K545" s="89">
        <f t="shared" si="41"/>
        <v>3848.34</v>
      </c>
      <c r="L545" s="89">
        <f t="shared" si="41"/>
        <v>12729034.180000002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4626270.3099999996</v>
      </c>
      <c r="G549" s="87">
        <f>L526</f>
        <v>1227766.06</v>
      </c>
      <c r="H549" s="87">
        <f>L531</f>
        <v>166939.03000000003</v>
      </c>
      <c r="I549" s="87">
        <f>L536</f>
        <v>5887.82</v>
      </c>
      <c r="J549" s="87">
        <f>L541</f>
        <v>395110</v>
      </c>
      <c r="K549" s="87">
        <f>SUM(F549:J549)</f>
        <v>6421973.2199999997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1926909.9599999997</v>
      </c>
      <c r="G550" s="87">
        <f>L527</f>
        <v>215365.27999999997</v>
      </c>
      <c r="H550" s="87">
        <f>L532</f>
        <v>57033.080000000009</v>
      </c>
      <c r="I550" s="87">
        <f>L537</f>
        <v>2011.52</v>
      </c>
      <c r="J550" s="87">
        <f>L542</f>
        <v>134985.47</v>
      </c>
      <c r="K550" s="87">
        <f>SUM(F550:J550)</f>
        <v>2336305.31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3224981.9</v>
      </c>
      <c r="G551" s="87">
        <f>L528</f>
        <v>337056.87000000005</v>
      </c>
      <c r="H551" s="87">
        <f>L533</f>
        <v>137811.69999999998</v>
      </c>
      <c r="I551" s="87">
        <f>L538</f>
        <v>3977.68</v>
      </c>
      <c r="J551" s="87">
        <f>L543</f>
        <v>266927.5</v>
      </c>
      <c r="K551" s="87">
        <f>SUM(F551:J551)</f>
        <v>3970755.6500000004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9778162.1699999999</v>
      </c>
      <c r="G552" s="89">
        <f t="shared" si="42"/>
        <v>1780188.2100000002</v>
      </c>
      <c r="H552" s="89">
        <f t="shared" si="42"/>
        <v>361783.81000000006</v>
      </c>
      <c r="I552" s="89">
        <f t="shared" si="42"/>
        <v>11877.02</v>
      </c>
      <c r="J552" s="89">
        <f t="shared" si="42"/>
        <v>797022.97</v>
      </c>
      <c r="K552" s="89">
        <f t="shared" si="42"/>
        <v>12729034.18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20544.5</v>
      </c>
      <c r="G562" s="18">
        <v>11160.69</v>
      </c>
      <c r="H562" s="18"/>
      <c r="I562" s="18"/>
      <c r="J562" s="18"/>
      <c r="K562" s="18"/>
      <c r="L562" s="88">
        <f>SUM(F562:K562)</f>
        <v>31705.190000000002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59198</v>
      </c>
      <c r="G563" s="18">
        <v>32159.01</v>
      </c>
      <c r="H563" s="18"/>
      <c r="I563" s="18"/>
      <c r="J563" s="18"/>
      <c r="K563" s="18"/>
      <c r="L563" s="88">
        <f>SUM(F563:K563)</f>
        <v>91357.01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79742.5</v>
      </c>
      <c r="G565" s="89">
        <f t="shared" si="44"/>
        <v>43319.7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123062.2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275596</v>
      </c>
      <c r="G567" s="18">
        <v>51439.35</v>
      </c>
      <c r="H567" s="18"/>
      <c r="I567" s="18">
        <v>13402.35</v>
      </c>
      <c r="J567" s="18"/>
      <c r="K567" s="18"/>
      <c r="L567" s="88">
        <f>SUM(F567:K567)</f>
        <v>340437.69999999995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>
        <v>75093</v>
      </c>
      <c r="G568" s="18">
        <v>14015.93</v>
      </c>
      <c r="H568" s="18"/>
      <c r="I568" s="18">
        <v>3199.32</v>
      </c>
      <c r="J568" s="18"/>
      <c r="K568" s="18"/>
      <c r="L568" s="88">
        <f>SUM(F568:K568)</f>
        <v>92308.25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350689</v>
      </c>
      <c r="G570" s="193">
        <f t="shared" ref="G570:L570" si="45">SUM(G567:G569)</f>
        <v>65455.28</v>
      </c>
      <c r="H570" s="193">
        <f t="shared" si="45"/>
        <v>0</v>
      </c>
      <c r="I570" s="193">
        <f t="shared" si="45"/>
        <v>16601.670000000002</v>
      </c>
      <c r="J570" s="193">
        <f t="shared" si="45"/>
        <v>0</v>
      </c>
      <c r="K570" s="193">
        <f t="shared" si="45"/>
        <v>0</v>
      </c>
      <c r="L570" s="193">
        <f t="shared" si="45"/>
        <v>432745.94999999995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430431.5</v>
      </c>
      <c r="G571" s="89">
        <f t="shared" ref="G571:L571" si="46">G560+G565+G570</f>
        <v>108774.98</v>
      </c>
      <c r="H571" s="89">
        <f t="shared" si="46"/>
        <v>0</v>
      </c>
      <c r="I571" s="89">
        <f t="shared" si="46"/>
        <v>16601.670000000002</v>
      </c>
      <c r="J571" s="89">
        <f t="shared" si="46"/>
        <v>0</v>
      </c>
      <c r="K571" s="89">
        <f t="shared" si="46"/>
        <v>0</v>
      </c>
      <c r="L571" s="89">
        <f t="shared" si="46"/>
        <v>555808.14999999991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100027.35</v>
      </c>
      <c r="G579" s="18"/>
      <c r="H579" s="18"/>
      <c r="I579" s="87">
        <f t="shared" si="47"/>
        <v>100027.35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294137</v>
      </c>
      <c r="G582" s="18">
        <v>435228.38</v>
      </c>
      <c r="H582" s="18">
        <v>1107792.01</v>
      </c>
      <c r="I582" s="87">
        <f t="shared" si="47"/>
        <v>1837157.3900000001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58038.7</v>
      </c>
      <c r="I584" s="87">
        <f t="shared" si="47"/>
        <v>58038.7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925250.96</v>
      </c>
      <c r="I591" s="18">
        <v>316102.96000000002</v>
      </c>
      <c r="J591" s="18">
        <v>625078.92000000004</v>
      </c>
      <c r="K591" s="104">
        <f t="shared" ref="K591:K597" si="48">SUM(H591:J591)</f>
        <v>1866432.8399999999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395110</v>
      </c>
      <c r="I592" s="18">
        <v>134985.47</v>
      </c>
      <c r="J592" s="18">
        <v>266927.51</v>
      </c>
      <c r="K592" s="104">
        <f t="shared" si="48"/>
        <v>797022.98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9000</v>
      </c>
      <c r="K593" s="104">
        <f t="shared" si="48"/>
        <v>9000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14844.93</v>
      </c>
      <c r="J594" s="18">
        <v>93727.79</v>
      </c>
      <c r="K594" s="104">
        <f t="shared" si="48"/>
        <v>108572.72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>
        <v>4500</v>
      </c>
      <c r="J595" s="18">
        <v>10030.75</v>
      </c>
      <c r="K595" s="104">
        <f t="shared" si="48"/>
        <v>14530.75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1320360.96</v>
      </c>
      <c r="I598" s="108">
        <f>SUM(I591:I597)</f>
        <v>470433.36000000004</v>
      </c>
      <c r="J598" s="108">
        <f>SUM(J591:J597)</f>
        <v>1004764.9700000001</v>
      </c>
      <c r="K598" s="108">
        <f>SUM(K591:K597)</f>
        <v>2795559.29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203527.05+3339+1869+1139</f>
        <v>209874.05</v>
      </c>
      <c r="I604" s="18">
        <v>64208.91</v>
      </c>
      <c r="J604" s="18">
        <v>205177.76</v>
      </c>
      <c r="K604" s="104">
        <f>SUM(H604:J604)</f>
        <v>479260.72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209874.05</v>
      </c>
      <c r="I605" s="108">
        <f>SUM(I602:I604)</f>
        <v>64208.91</v>
      </c>
      <c r="J605" s="108">
        <f>SUM(J602:J604)</f>
        <v>205177.76</v>
      </c>
      <c r="K605" s="108">
        <f>SUM(K602:K604)</f>
        <v>479260.72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5880.32</v>
      </c>
      <c r="G612" s="18">
        <v>125.06</v>
      </c>
      <c r="H612" s="18"/>
      <c r="I612" s="18"/>
      <c r="J612" s="18"/>
      <c r="K612" s="18"/>
      <c r="L612" s="88">
        <f>SUM(F612:K612)</f>
        <v>6005.38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94868.9</v>
      </c>
      <c r="G613" s="18">
        <v>2017.64</v>
      </c>
      <c r="H613" s="18"/>
      <c r="I613" s="18"/>
      <c r="J613" s="18"/>
      <c r="K613" s="18"/>
      <c r="L613" s="88">
        <f>SUM(F613:K613)</f>
        <v>96886.54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100749.22</v>
      </c>
      <c r="G614" s="108">
        <f t="shared" si="49"/>
        <v>2142.7000000000003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102891.92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7482941.8199999994</v>
      </c>
      <c r="H617" s="109">
        <f>SUM(F52)</f>
        <v>7482941.8200000003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642989.59000000008</v>
      </c>
      <c r="H618" s="109">
        <f>SUM(G52)</f>
        <v>642989.59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439724.81</v>
      </c>
      <c r="H619" s="109">
        <f>SUM(H52)</f>
        <v>439724.81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491000</v>
      </c>
      <c r="H621" s="109">
        <f>SUM(J52)</f>
        <v>491000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4336672.93</v>
      </c>
      <c r="H622" s="109">
        <f>F476</f>
        <v>4336672.93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554700.43999999994</v>
      </c>
      <c r="H623" s="109">
        <f>G476</f>
        <v>554700.44000000018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491000</v>
      </c>
      <c r="H626" s="109">
        <f>J476</f>
        <v>491000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62592746.809999995</v>
      </c>
      <c r="H627" s="104">
        <f>SUM(F468)</f>
        <v>62592746.810000002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1762502.28</v>
      </c>
      <c r="H628" s="104">
        <f>SUM(G468)</f>
        <v>1762502.28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1157274.98</v>
      </c>
      <c r="H629" s="104">
        <f>SUM(H468)</f>
        <v>1157274.98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-153.01</v>
      </c>
      <c r="H631" s="104">
        <f>SUM(J468)</f>
        <v>-153.01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65647052.269999988</v>
      </c>
      <c r="H632" s="104">
        <f>SUM(F472)</f>
        <v>65647052.270000003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1157274.98</v>
      </c>
      <c r="H633" s="104">
        <f>SUM(H472)</f>
        <v>1157274.98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873897.1</v>
      </c>
      <c r="H634" s="104">
        <f>I369</f>
        <v>873897.10000000009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1674906.2</v>
      </c>
      <c r="H635" s="104">
        <f>SUM(G472)</f>
        <v>1674906.2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-153.01</v>
      </c>
      <c r="H637" s="164">
        <f>SUM(J468)</f>
        <v>-153.01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491000</v>
      </c>
      <c r="H639" s="104">
        <f>SUM(F461)</f>
        <v>491000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491000</v>
      </c>
      <c r="H642" s="104">
        <f>SUM(I461)</f>
        <v>491000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-153.01</v>
      </c>
      <c r="H644" s="104">
        <f>H408</f>
        <v>-153.01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-153.01</v>
      </c>
      <c r="H646" s="104">
        <f>L408</f>
        <v>-153.01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2795559.29</v>
      </c>
      <c r="H647" s="104">
        <f>L208+L226+L244</f>
        <v>2795559.29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479260.72</v>
      </c>
      <c r="H648" s="104">
        <f>(J257+J338)-(J255+J336)</f>
        <v>479260.72000000009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1320360.96</v>
      </c>
      <c r="H649" s="104">
        <f>H598</f>
        <v>1320360.96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470433.36</v>
      </c>
      <c r="H650" s="104">
        <f>I598</f>
        <v>470433.36000000004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1004764.9700000001</v>
      </c>
      <c r="H651" s="104">
        <f>J598</f>
        <v>1004764.9700000001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1.1499999999999999</v>
      </c>
      <c r="H652" s="104">
        <f>K263+K345</f>
        <v>1.1499999999999999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30993959.650000002</v>
      </c>
      <c r="G660" s="19">
        <f>(L229+L309+L359)</f>
        <v>11542735.829999998</v>
      </c>
      <c r="H660" s="19">
        <f>(L247+L328+L360)</f>
        <v>22088663.269999996</v>
      </c>
      <c r="I660" s="19">
        <f>SUM(F660:H660)</f>
        <v>64625358.75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693518.66055153031</v>
      </c>
      <c r="G661" s="19">
        <f>(L359/IF(SUM(L358:L360)=0,1,SUM(L358:L360))*(SUM(G97:G110)))</f>
        <v>293159.30888548249</v>
      </c>
      <c r="H661" s="19">
        <f>(L360/IF(SUM(L358:L360)=0,1,SUM(L358:L360))*(SUM(G97:G110)))</f>
        <v>546595.35056298715</v>
      </c>
      <c r="I661" s="19">
        <f>SUM(F661:H661)</f>
        <v>1533273.3199999998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1321848.1599999999</v>
      </c>
      <c r="G662" s="19">
        <f>(L226+L306)-(J226+J306)</f>
        <v>470941.45</v>
      </c>
      <c r="H662" s="19">
        <f>(L244+L325)-(J244+J325)</f>
        <v>1005769.6900000001</v>
      </c>
      <c r="I662" s="19">
        <f>SUM(F662:H662)</f>
        <v>2798559.3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604038.39999999991</v>
      </c>
      <c r="G663" s="199">
        <f>SUM(G575:G587)+SUM(I602:I604)+L612</f>
        <v>505442.67000000004</v>
      </c>
      <c r="H663" s="199">
        <f>SUM(H575:H587)+SUM(J602:J604)+L613</f>
        <v>1467895.01</v>
      </c>
      <c r="I663" s="19">
        <f>SUM(F663:H663)</f>
        <v>2577376.08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28374554.42944847</v>
      </c>
      <c r="G664" s="19">
        <f>G660-SUM(G661:G663)</f>
        <v>10273192.401114516</v>
      </c>
      <c r="H664" s="19">
        <f>H660-SUM(H661:H663)</f>
        <v>19068403.219437011</v>
      </c>
      <c r="I664" s="19">
        <f>I660-SUM(I661:I663)</f>
        <v>57716150.049999997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2096.7199999999998</v>
      </c>
      <c r="G665" s="248">
        <v>756</v>
      </c>
      <c r="H665" s="248">
        <v>1490.26</v>
      </c>
      <c r="I665" s="19">
        <f>SUM(F665:H665)</f>
        <v>4342.9799999999996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13532.83</v>
      </c>
      <c r="G667" s="19">
        <f>ROUND(G664/G665,2)</f>
        <v>13588.88</v>
      </c>
      <c r="H667" s="19">
        <f>ROUND(H664/H665,2)</f>
        <v>12795.35</v>
      </c>
      <c r="I667" s="19">
        <f>ROUND(I664/I665,2)</f>
        <v>13289.53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-14</v>
      </c>
      <c r="I670" s="19">
        <f>SUM(F670:H670)</f>
        <v>-14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13532.83</v>
      </c>
      <c r="G672" s="19">
        <f>ROUND((G664+G669)/(G665+G670),2)</f>
        <v>13588.88</v>
      </c>
      <c r="H672" s="19">
        <f>ROUND((H664+H669)/(H665+H670),2)</f>
        <v>12916.7</v>
      </c>
      <c r="I672" s="19">
        <f>ROUND((I664+I669)/(I665+I670),2)</f>
        <v>13332.51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6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Bedford SD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18574260.990000002</v>
      </c>
      <c r="C9" s="229">
        <f>'DOE25'!G197+'DOE25'!G215+'DOE25'!G233+'DOE25'!G276+'DOE25'!G295+'DOE25'!G314</f>
        <v>9150854.6599999983</v>
      </c>
    </row>
    <row r="10" spans="1:3" x14ac:dyDescent="0.2">
      <c r="A10" t="s">
        <v>773</v>
      </c>
      <c r="B10" s="240">
        <v>17786138.239999998</v>
      </c>
      <c r="C10" s="240">
        <v>8762575.5899999999</v>
      </c>
    </row>
    <row r="11" spans="1:3" x14ac:dyDescent="0.2">
      <c r="A11" t="s">
        <v>774</v>
      </c>
      <c r="B11" s="240">
        <v>563274.57999999996</v>
      </c>
      <c r="C11" s="240">
        <v>277504.65000000002</v>
      </c>
    </row>
    <row r="12" spans="1:3" x14ac:dyDescent="0.2">
      <c r="A12" t="s">
        <v>775</v>
      </c>
      <c r="B12" s="240">
        <v>224848.17</v>
      </c>
      <c r="C12" s="240">
        <v>110774.42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18574260.989999998</v>
      </c>
      <c r="C13" s="231">
        <f>SUM(C10:C12)</f>
        <v>9150854.6600000001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6913963.7400000002</v>
      </c>
      <c r="C18" s="229">
        <f>'DOE25'!G198+'DOE25'!G216+'DOE25'!G234+'DOE25'!G277+'DOE25'!G296+'DOE25'!G315</f>
        <v>3141492.8600000003</v>
      </c>
    </row>
    <row r="19" spans="1:3" x14ac:dyDescent="0.2">
      <c r="A19" t="s">
        <v>773</v>
      </c>
      <c r="B19" s="240">
        <v>4361856.8899999997</v>
      </c>
      <c r="C19" s="240">
        <v>1981893.86</v>
      </c>
    </row>
    <row r="20" spans="1:3" x14ac:dyDescent="0.2">
      <c r="A20" t="s">
        <v>774</v>
      </c>
      <c r="B20" s="240">
        <v>2552106.85</v>
      </c>
      <c r="C20" s="240">
        <v>1159599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6913963.7400000002</v>
      </c>
      <c r="C22" s="231">
        <f>SUM(C19:C21)</f>
        <v>3141492.8600000003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721611.57000000007</v>
      </c>
      <c r="C36" s="235">
        <f>'DOE25'!G200+'DOE25'!G218+'DOE25'!G236+'DOE25'!G279+'DOE25'!G298+'DOE25'!G317</f>
        <v>357959.4</v>
      </c>
    </row>
    <row r="37" spans="1:3" x14ac:dyDescent="0.2">
      <c r="A37" t="s">
        <v>773</v>
      </c>
      <c r="B37" s="240">
        <v>625419.87</v>
      </c>
      <c r="C37" s="240">
        <v>310242.98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96191.7</v>
      </c>
      <c r="C39" s="240">
        <v>47716.42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721611.57</v>
      </c>
      <c r="C40" s="231">
        <f>SUM(C37:C39)</f>
        <v>357959.39999999997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Bedford SD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41435631.770000003</v>
      </c>
      <c r="D5" s="20">
        <f>SUM('DOE25'!L197:L200)+SUM('DOE25'!L215:L218)+SUM('DOE25'!L233:L236)-F5-G5</f>
        <v>41232782.520000003</v>
      </c>
      <c r="E5" s="243"/>
      <c r="F5" s="255">
        <f>SUM('DOE25'!J197:J200)+SUM('DOE25'!J215:J218)+SUM('DOE25'!J233:J236)</f>
        <v>121170.28</v>
      </c>
      <c r="G5" s="53">
        <f>SUM('DOE25'!K197:K200)+SUM('DOE25'!K215:K218)+SUM('DOE25'!K233:K236)</f>
        <v>81678.97</v>
      </c>
      <c r="H5" s="259"/>
    </row>
    <row r="6" spans="1:9" x14ac:dyDescent="0.2">
      <c r="A6" s="32">
        <v>2100</v>
      </c>
      <c r="B6" t="s">
        <v>795</v>
      </c>
      <c r="C6" s="245">
        <f t="shared" si="0"/>
        <v>4051512.9999999991</v>
      </c>
      <c r="D6" s="20">
        <f>'DOE25'!L202+'DOE25'!L220+'DOE25'!L238-F6-G6</f>
        <v>4049026.0099999988</v>
      </c>
      <c r="E6" s="243"/>
      <c r="F6" s="255">
        <f>'DOE25'!J202+'DOE25'!J220+'DOE25'!J238</f>
        <v>2486.9900000000002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1540929.03</v>
      </c>
      <c r="D7" s="20">
        <f>'DOE25'!L203+'DOE25'!L221+'DOE25'!L239-F7-G7</f>
        <v>1182510.5900000001</v>
      </c>
      <c r="E7" s="243"/>
      <c r="F7" s="255">
        <f>'DOE25'!J203+'DOE25'!J221+'DOE25'!J239</f>
        <v>314163.44</v>
      </c>
      <c r="G7" s="53">
        <f>'DOE25'!K203+'DOE25'!K221+'DOE25'!K239</f>
        <v>44255</v>
      </c>
      <c r="H7" s="259"/>
    </row>
    <row r="8" spans="1:9" x14ac:dyDescent="0.2">
      <c r="A8" s="32">
        <v>2300</v>
      </c>
      <c r="B8" t="s">
        <v>796</v>
      </c>
      <c r="C8" s="245">
        <f t="shared" si="0"/>
        <v>998871.67999999993</v>
      </c>
      <c r="D8" s="243"/>
      <c r="E8" s="20">
        <f>'DOE25'!L204+'DOE25'!L222+'DOE25'!L240-F8-G8-D9-D11</f>
        <v>949606</v>
      </c>
      <c r="F8" s="255">
        <f>'DOE25'!J204+'DOE25'!J222+'DOE25'!J240</f>
        <v>23152.7</v>
      </c>
      <c r="G8" s="53">
        <f>'DOE25'!K204+'DOE25'!K222+'DOE25'!K240</f>
        <v>26112.979999999996</v>
      </c>
      <c r="H8" s="259"/>
    </row>
    <row r="9" spans="1:9" x14ac:dyDescent="0.2">
      <c r="A9" s="32">
        <v>2310</v>
      </c>
      <c r="B9" t="s">
        <v>812</v>
      </c>
      <c r="C9" s="245">
        <f t="shared" si="0"/>
        <v>18369.810000000001</v>
      </c>
      <c r="D9" s="244">
        <v>18369.810000000001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17282.91</v>
      </c>
      <c r="D10" s="243"/>
      <c r="E10" s="244">
        <v>17282.91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487175.03</v>
      </c>
      <c r="D11" s="244">
        <v>487175.03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4653803.91</v>
      </c>
      <c r="D12" s="20">
        <f>'DOE25'!L205+'DOE25'!L223+'DOE25'!L241-F12-G12</f>
        <v>4602639.37</v>
      </c>
      <c r="E12" s="243"/>
      <c r="F12" s="255">
        <f>'DOE25'!J205+'DOE25'!J223+'DOE25'!J241</f>
        <v>4037.58</v>
      </c>
      <c r="G12" s="53">
        <f>'DOE25'!K205+'DOE25'!K223+'DOE25'!K241</f>
        <v>47126.96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647408.13</v>
      </c>
      <c r="D13" s="243"/>
      <c r="E13" s="20">
        <f>'DOE25'!L206+'DOE25'!L224+'DOE25'!L242-F13-G13</f>
        <v>643379.5</v>
      </c>
      <c r="F13" s="255">
        <f>'DOE25'!J206+'DOE25'!J224+'DOE25'!J242</f>
        <v>0</v>
      </c>
      <c r="G13" s="53">
        <f>'DOE25'!K206+'DOE25'!K224+'DOE25'!K242</f>
        <v>4028.63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5109192.38</v>
      </c>
      <c r="D14" s="20">
        <f>'DOE25'!L207+'DOE25'!L225+'DOE25'!L243-F14-G14</f>
        <v>5100446.9499999993</v>
      </c>
      <c r="E14" s="243"/>
      <c r="F14" s="255">
        <f>'DOE25'!J207+'DOE25'!J225+'DOE25'!J243</f>
        <v>7902.73</v>
      </c>
      <c r="G14" s="53">
        <f>'DOE25'!K207+'DOE25'!K225+'DOE25'!K243</f>
        <v>842.7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2795559.29</v>
      </c>
      <c r="D15" s="20">
        <f>'DOE25'!L208+'DOE25'!L226+'DOE25'!L244-F15-G15</f>
        <v>2795559.29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61402.540000000008</v>
      </c>
      <c r="D16" s="243"/>
      <c r="E16" s="20">
        <f>'DOE25'!L209+'DOE25'!L227+'DOE25'!L245-F16-G16</f>
        <v>61402.540000000008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5609.8</v>
      </c>
      <c r="D17" s="20">
        <f>'DOE25'!L251-F17-G17</f>
        <v>5609.8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3832433.75</v>
      </c>
      <c r="D25" s="243"/>
      <c r="E25" s="243"/>
      <c r="F25" s="258"/>
      <c r="G25" s="256"/>
      <c r="H25" s="257">
        <f>'DOE25'!L260+'DOE25'!L261+'DOE25'!L341+'DOE25'!L342</f>
        <v>3832433.75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878392.03999999992</v>
      </c>
      <c r="D29" s="20">
        <f>'DOE25'!L358+'DOE25'!L359+'DOE25'!L360-'DOE25'!I367-F29-G29</f>
        <v>839305.28999999992</v>
      </c>
      <c r="E29" s="243"/>
      <c r="F29" s="255">
        <f>'DOE25'!J358+'DOE25'!J359+'DOE25'!J360</f>
        <v>35776.369999999995</v>
      </c>
      <c r="G29" s="53">
        <f>'DOE25'!K358+'DOE25'!K359+'DOE25'!K360</f>
        <v>3310.38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1155595.98</v>
      </c>
      <c r="D31" s="20">
        <f>'DOE25'!L290+'DOE25'!L309+'DOE25'!L328+'DOE25'!L333+'DOE25'!L334+'DOE25'!L335-F31-G31</f>
        <v>1148177.98</v>
      </c>
      <c r="E31" s="243"/>
      <c r="F31" s="255">
        <f>'DOE25'!J290+'DOE25'!J309+'DOE25'!J328+'DOE25'!J333+'DOE25'!J334+'DOE25'!J335</f>
        <v>5208</v>
      </c>
      <c r="G31" s="53">
        <f>'DOE25'!K290+'DOE25'!K309+'DOE25'!K328+'DOE25'!K333+'DOE25'!K334+'DOE25'!K335</f>
        <v>2210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61461602.639999993</v>
      </c>
      <c r="E33" s="246">
        <f>SUM(E5:E31)</f>
        <v>1671670.9500000002</v>
      </c>
      <c r="F33" s="246">
        <f>SUM(F5:F31)</f>
        <v>513898.09</v>
      </c>
      <c r="G33" s="246">
        <f>SUM(G5:G31)</f>
        <v>209565.62000000002</v>
      </c>
      <c r="H33" s="246">
        <f>SUM(H5:H31)</f>
        <v>3832433.75</v>
      </c>
    </row>
    <row r="35" spans="2:8" ht="12" thickBot="1" x14ac:dyDescent="0.25">
      <c r="B35" s="253" t="s">
        <v>841</v>
      </c>
      <c r="D35" s="254">
        <f>E33</f>
        <v>1671670.9500000002</v>
      </c>
      <c r="E35" s="249"/>
    </row>
    <row r="36" spans="2:8" ht="12" thickTop="1" x14ac:dyDescent="0.2">
      <c r="B36" t="s">
        <v>809</v>
      </c>
      <c r="D36" s="20">
        <f>D33</f>
        <v>61461602.639999993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6" activePane="bottomLeft" state="frozen"/>
      <selection activeCell="F46" sqref="F46"/>
      <selection pane="bottomLeft" activeCell="C49" sqref="C4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Bedford SD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7136626.6399999997</v>
      </c>
      <c r="D8" s="95">
        <f>'DOE25'!G9</f>
        <v>202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619715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179638.37</v>
      </c>
      <c r="D12" s="95">
        <f>'DOE25'!G13</f>
        <v>13989.55</v>
      </c>
      <c r="E12" s="95">
        <f>'DOE25'!H13</f>
        <v>436587.31</v>
      </c>
      <c r="F12" s="95">
        <f>'DOE25'!I13</f>
        <v>0</v>
      </c>
      <c r="G12" s="95">
        <f>'DOE25'!J13</f>
        <v>491000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152110.79</v>
      </c>
      <c r="D13" s="95">
        <f>'DOE25'!G14</f>
        <v>2105.54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14566.02</v>
      </c>
      <c r="D16" s="95">
        <f>'DOE25'!G17</f>
        <v>6977.5</v>
      </c>
      <c r="E16" s="95">
        <f>'DOE25'!H17</f>
        <v>3137.5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7482941.8199999994</v>
      </c>
      <c r="D18" s="41">
        <f>SUM(D8:D17)</f>
        <v>642989.59000000008</v>
      </c>
      <c r="E18" s="41">
        <f>SUM(E8:E17)</f>
        <v>439724.81</v>
      </c>
      <c r="F18" s="41">
        <f>SUM(F8:F17)</f>
        <v>0</v>
      </c>
      <c r="G18" s="41">
        <f>SUM(G8:G17)</f>
        <v>491000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313431.21000000002</v>
      </c>
      <c r="D21" s="95">
        <f>'DOE25'!G22</f>
        <v>0</v>
      </c>
      <c r="E21" s="95">
        <f>'DOE25'!H22</f>
        <v>306283.78999999998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80908.72</v>
      </c>
      <c r="D23" s="95">
        <f>'DOE25'!G24</f>
        <v>770.75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2602804.96</v>
      </c>
      <c r="D27" s="95">
        <f>'DOE25'!G28</f>
        <v>2176.67</v>
      </c>
      <c r="E27" s="95">
        <f>'DOE25'!H28</f>
        <v>66969.850000000006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149124</v>
      </c>
      <c r="D29" s="95">
        <f>'DOE25'!G30</f>
        <v>85341.73</v>
      </c>
      <c r="E29" s="95">
        <f>'DOE25'!H30</f>
        <v>66471.17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3146268.89</v>
      </c>
      <c r="D31" s="41">
        <f>SUM(D21:D30)</f>
        <v>88289.15</v>
      </c>
      <c r="E31" s="41">
        <f>SUM(E21:E30)</f>
        <v>439724.81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14566.02</v>
      </c>
      <c r="D35" s="95">
        <f>'DOE25'!G36</f>
        <v>6977.5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491000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472200.16</v>
      </c>
      <c r="D48" s="95">
        <f>'DOE25'!G49</f>
        <v>547722.93999999994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3849906.75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4336672.93</v>
      </c>
      <c r="D50" s="41">
        <f>SUM(D34:D49)</f>
        <v>554700.43999999994</v>
      </c>
      <c r="E50" s="41">
        <f>SUM(E34:E49)</f>
        <v>0</v>
      </c>
      <c r="F50" s="41">
        <f>SUM(F34:F49)</f>
        <v>0</v>
      </c>
      <c r="G50" s="41">
        <f>SUM(G34:G49)</f>
        <v>491000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7482941.8200000003</v>
      </c>
      <c r="D51" s="41">
        <f>D50+D31</f>
        <v>642989.59</v>
      </c>
      <c r="E51" s="41">
        <f>E50+E31</f>
        <v>439724.81</v>
      </c>
      <c r="F51" s="41">
        <f>F50+F31</f>
        <v>0</v>
      </c>
      <c r="G51" s="41">
        <f>G50+G31</f>
        <v>491000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41913435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1052597.83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8142.26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35156.29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-153.01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1533273.32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385763.04</v>
      </c>
      <c r="D61" s="95">
        <f>SUM('DOE25'!G98:G110)</f>
        <v>0</v>
      </c>
      <c r="E61" s="95">
        <f>SUM('DOE25'!H98:H110)</f>
        <v>25454.400000000001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1481659.4200000002</v>
      </c>
      <c r="D62" s="130">
        <f>SUM(D57:D61)</f>
        <v>1533273.32</v>
      </c>
      <c r="E62" s="130">
        <f>SUM(E57:E61)</f>
        <v>25454.400000000001</v>
      </c>
      <c r="F62" s="130">
        <f>SUM(F57:F61)</f>
        <v>0</v>
      </c>
      <c r="G62" s="130">
        <f>SUM(G57:G61)</f>
        <v>-153.01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43395094.420000002</v>
      </c>
      <c r="D63" s="22">
        <f>D56+D62</f>
        <v>1533273.32</v>
      </c>
      <c r="E63" s="22">
        <f>E56+E62</f>
        <v>25454.400000000001</v>
      </c>
      <c r="F63" s="22">
        <f>F56+F62</f>
        <v>0</v>
      </c>
      <c r="G63" s="22">
        <f>G56+G62</f>
        <v>-153.01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8855695.0399999991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8565052.9900000002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42968.86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17463716.890000001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855327.36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464162.78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5281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22892.76</v>
      </c>
      <c r="E77" s="95">
        <f>SUM('DOE25'!H131:H135)</f>
        <v>5000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1324771.1400000001</v>
      </c>
      <c r="D78" s="130">
        <f>SUM(D72:D77)</f>
        <v>22892.76</v>
      </c>
      <c r="E78" s="130">
        <f>SUM(E72:E77)</f>
        <v>5000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18788488.030000001</v>
      </c>
      <c r="D81" s="130">
        <f>SUM(D79:D80)+D78+D70</f>
        <v>22892.76</v>
      </c>
      <c r="E81" s="130">
        <f>SUM(E79:E80)+E78+E70</f>
        <v>5000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409164.36</v>
      </c>
      <c r="D88" s="95">
        <f>SUM('DOE25'!G153:G161)</f>
        <v>206335.05</v>
      </c>
      <c r="E88" s="95">
        <f>SUM('DOE25'!H153:H161)</f>
        <v>1126820.58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409164.36</v>
      </c>
      <c r="D91" s="131">
        <f>SUM(D85:D90)</f>
        <v>206335.05</v>
      </c>
      <c r="E91" s="131">
        <f>SUM(E85:E90)</f>
        <v>1126820.58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1.1499999999999999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1.1499999999999999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62592746.810000002</v>
      </c>
      <c r="D104" s="86">
        <f>D63+D81+D91+D103</f>
        <v>1762502.28</v>
      </c>
      <c r="E104" s="86">
        <f>E63+E81+E91+E103</f>
        <v>1157274.98</v>
      </c>
      <c r="F104" s="86">
        <f>F63+F81+F91+F103</f>
        <v>0</v>
      </c>
      <c r="G104" s="86">
        <f>G63+G81+G103</f>
        <v>-153.01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28576153.75</v>
      </c>
      <c r="D109" s="24" t="s">
        <v>286</v>
      </c>
      <c r="E109" s="95">
        <f>('DOE25'!L276)+('DOE25'!L295)+('DOE25'!L314)</f>
        <v>154147.06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11461664.6</v>
      </c>
      <c r="D110" s="24" t="s">
        <v>286</v>
      </c>
      <c r="E110" s="95">
        <f>('DOE25'!L277)+('DOE25'!L296)+('DOE25'!L315)</f>
        <v>591110.10000000009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49038.7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1348774.7200000002</v>
      </c>
      <c r="D112" s="24" t="s">
        <v>286</v>
      </c>
      <c r="E112" s="95">
        <f>+('DOE25'!L279)+('DOE25'!L298)+('DOE25'!L317)</f>
        <v>2450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1679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5609.8</v>
      </c>
      <c r="D114" s="24" t="s">
        <v>286</v>
      </c>
      <c r="E114" s="95">
        <f>+ SUM('DOE25'!L333:L335)</f>
        <v>5000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41441241.57</v>
      </c>
      <c r="D115" s="86">
        <f>SUM(D109:D114)</f>
        <v>0</v>
      </c>
      <c r="E115" s="86">
        <f>SUM(E109:E114)</f>
        <v>754386.16000000015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4051512.9999999991</v>
      </c>
      <c r="D118" s="24" t="s">
        <v>286</v>
      </c>
      <c r="E118" s="95">
        <f>+('DOE25'!L281)+('DOE25'!L300)+('DOE25'!L319)</f>
        <v>329678.92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1540929.03</v>
      </c>
      <c r="D119" s="24" t="s">
        <v>286</v>
      </c>
      <c r="E119" s="95">
        <f>+('DOE25'!L282)+('DOE25'!L301)+('DOE25'!L320)</f>
        <v>45476.19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1504416.52</v>
      </c>
      <c r="D120" s="24" t="s">
        <v>286</v>
      </c>
      <c r="E120" s="95">
        <f>+('DOE25'!L283)+('DOE25'!L302)+('DOE25'!L321)</f>
        <v>9644.7000000000007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4653803.91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647408.13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5109192.38</v>
      </c>
      <c r="D123" s="24" t="s">
        <v>286</v>
      </c>
      <c r="E123" s="95">
        <f>+('DOE25'!L286)+('DOE25'!L305)+('DOE25'!L324)</f>
        <v>15089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2795559.29</v>
      </c>
      <c r="D124" s="24" t="s">
        <v>286</v>
      </c>
      <c r="E124" s="95">
        <f>+('DOE25'!L287)+('DOE25'!L306)+('DOE25'!L325)</f>
        <v>3000.01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61402.540000000008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1674906.2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20364224.799999997</v>
      </c>
      <c r="D128" s="86">
        <f>SUM(D118:D127)</f>
        <v>1674906.2</v>
      </c>
      <c r="E128" s="86">
        <f>SUM(E118:E127)</f>
        <v>402888.82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2570000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1262433.75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1.1499999999999999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-153.01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153.01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9151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3841585.9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65647052.269999996</v>
      </c>
      <c r="D145" s="86">
        <f>(D115+D128+D144)</f>
        <v>1674906.2</v>
      </c>
      <c r="E145" s="86">
        <f>(E115+E128+E144)</f>
        <v>1157274.9800000002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20</v>
      </c>
      <c r="D151" s="153">
        <f>'DOE25'!H490</f>
        <v>10</v>
      </c>
      <c r="E151" s="153">
        <f>'DOE25'!I490</f>
        <v>15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8/08</v>
      </c>
      <c r="C152" s="152" t="str">
        <f>'DOE25'!G491</f>
        <v>6/06</v>
      </c>
      <c r="D152" s="152" t="str">
        <f>'DOE25'!H491</f>
        <v xml:space="preserve"> 8/07</v>
      </c>
      <c r="E152" s="152" t="str">
        <f>'DOE25'!I491</f>
        <v xml:space="preserve"> 11/14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8/18</v>
      </c>
      <c r="C153" s="152" t="str">
        <f>'DOE25'!G492</f>
        <v>7/26</v>
      </c>
      <c r="D153" s="152" t="str">
        <f>'DOE25'!H492</f>
        <v xml:space="preserve"> 8/17</v>
      </c>
      <c r="E153" s="152" t="str">
        <f>'DOE25'!I492</f>
        <v xml:space="preserve"> 7/29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3935000</v>
      </c>
      <c r="C154" s="137">
        <f>'DOE25'!G493</f>
        <v>800000</v>
      </c>
      <c r="D154" s="137">
        <f>'DOE25'!H493</f>
        <v>2681350</v>
      </c>
      <c r="E154" s="137">
        <f>'DOE25'!I493</f>
        <v>32715000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3.34</v>
      </c>
      <c r="C155" s="137">
        <f>'DOE25'!G494</f>
        <v>4.5199999999999996</v>
      </c>
      <c r="D155" s="137">
        <f>'DOE25'!H494</f>
        <v>4.28</v>
      </c>
      <c r="E155" s="137">
        <f>'DOE25'!I494</f>
        <v>2.63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765000</v>
      </c>
      <c r="C156" s="137">
        <f>'DOE25'!G495</f>
        <v>400000</v>
      </c>
      <c r="D156" s="137">
        <f>'DOE25'!H495</f>
        <v>265000</v>
      </c>
      <c r="E156" s="137">
        <f>'DOE25'!I495</f>
        <v>28120000</v>
      </c>
      <c r="F156" s="137">
        <f>'DOE25'!J495</f>
        <v>0</v>
      </c>
      <c r="G156" s="138">
        <f>SUM(B156:F156)</f>
        <v>29550000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385000</v>
      </c>
      <c r="C158" s="137">
        <f>'DOE25'!G497</f>
        <v>40000</v>
      </c>
      <c r="D158" s="137">
        <f>'DOE25'!H497</f>
        <v>265000</v>
      </c>
      <c r="E158" s="137">
        <f>'DOE25'!I497</f>
        <v>1880000</v>
      </c>
      <c r="F158" s="137">
        <f>'DOE25'!J497</f>
        <v>0</v>
      </c>
      <c r="G158" s="138">
        <f t="shared" si="0"/>
        <v>2570000</v>
      </c>
    </row>
    <row r="159" spans="1:9" x14ac:dyDescent="0.2">
      <c r="A159" s="22" t="s">
        <v>35</v>
      </c>
      <c r="B159" s="137">
        <f>'DOE25'!F498</f>
        <v>380000</v>
      </c>
      <c r="C159" s="137">
        <f>'DOE25'!G498</f>
        <v>360000</v>
      </c>
      <c r="D159" s="137">
        <f>'DOE25'!H498</f>
        <v>0</v>
      </c>
      <c r="E159" s="137">
        <f>'DOE25'!I498</f>
        <v>26240000</v>
      </c>
      <c r="F159" s="137">
        <f>'DOE25'!J498</f>
        <v>0</v>
      </c>
      <c r="G159" s="138">
        <f t="shared" si="0"/>
        <v>26980000</v>
      </c>
    </row>
    <row r="160" spans="1:9" x14ac:dyDescent="0.2">
      <c r="A160" s="22" t="s">
        <v>36</v>
      </c>
      <c r="B160" s="137">
        <f>'DOE25'!F499</f>
        <v>8375</v>
      </c>
      <c r="C160" s="137">
        <f>'DOE25'!G499</f>
        <v>74165</v>
      </c>
      <c r="D160" s="137">
        <f>'DOE25'!H499</f>
        <v>0</v>
      </c>
      <c r="E160" s="137">
        <f>'DOE25'!I499</f>
        <v>8155625</v>
      </c>
      <c r="F160" s="137">
        <f>'DOE25'!J499</f>
        <v>0</v>
      </c>
      <c r="G160" s="138">
        <f t="shared" si="0"/>
        <v>8238165</v>
      </c>
    </row>
    <row r="161" spans="1:7" x14ac:dyDescent="0.2">
      <c r="A161" s="22" t="s">
        <v>37</v>
      </c>
      <c r="B161" s="137">
        <f>'DOE25'!F500</f>
        <v>388375</v>
      </c>
      <c r="C161" s="137">
        <f>'DOE25'!G500</f>
        <v>434165</v>
      </c>
      <c r="D161" s="137">
        <f>'DOE25'!H500</f>
        <v>0</v>
      </c>
      <c r="E161" s="137">
        <f>'DOE25'!I500</f>
        <v>34395625</v>
      </c>
      <c r="F161" s="137">
        <f>'DOE25'!J500</f>
        <v>0</v>
      </c>
      <c r="G161" s="138">
        <f t="shared" si="0"/>
        <v>35218165</v>
      </c>
    </row>
    <row r="162" spans="1:7" x14ac:dyDescent="0.2">
      <c r="A162" s="22" t="s">
        <v>38</v>
      </c>
      <c r="B162" s="137">
        <f>'DOE25'!F501</f>
        <v>380000</v>
      </c>
      <c r="C162" s="137">
        <f>'DOE25'!G501</f>
        <v>40000</v>
      </c>
      <c r="D162" s="137">
        <f>'DOE25'!H501</f>
        <v>0</v>
      </c>
      <c r="E162" s="137">
        <f>'DOE25'!I501</f>
        <v>1795000</v>
      </c>
      <c r="F162" s="137">
        <f>'DOE25'!J501</f>
        <v>0</v>
      </c>
      <c r="G162" s="138">
        <f t="shared" si="0"/>
        <v>2215000</v>
      </c>
    </row>
    <row r="163" spans="1:7" x14ac:dyDescent="0.2">
      <c r="A163" s="22" t="s">
        <v>39</v>
      </c>
      <c r="B163" s="137">
        <f>'DOE25'!F502</f>
        <v>8375</v>
      </c>
      <c r="C163" s="137">
        <f>'DOE25'!G502</f>
        <v>15430</v>
      </c>
      <c r="D163" s="137">
        <f>'DOE25'!H502</f>
        <v>0</v>
      </c>
      <c r="E163" s="137">
        <f>'DOE25'!I502</f>
        <v>1168925</v>
      </c>
      <c r="F163" s="137">
        <f>'DOE25'!J502</f>
        <v>0</v>
      </c>
      <c r="G163" s="138">
        <f t="shared" si="0"/>
        <v>1192730</v>
      </c>
    </row>
    <row r="164" spans="1:7" x14ac:dyDescent="0.2">
      <c r="A164" s="22" t="s">
        <v>246</v>
      </c>
      <c r="B164" s="137">
        <f>'DOE25'!F503</f>
        <v>388375</v>
      </c>
      <c r="C164" s="137">
        <f>'DOE25'!G503</f>
        <v>55430</v>
      </c>
      <c r="D164" s="137">
        <f>'DOE25'!H503</f>
        <v>0</v>
      </c>
      <c r="E164" s="137">
        <f>'DOE25'!I503</f>
        <v>2963925</v>
      </c>
      <c r="F164" s="137">
        <f>'DOE25'!J503</f>
        <v>0</v>
      </c>
      <c r="G164" s="138">
        <f t="shared" si="0"/>
        <v>3407730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Bedford SD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13533</v>
      </c>
    </row>
    <row r="5" spans="1:4" x14ac:dyDescent="0.2">
      <c r="B5" t="s">
        <v>698</v>
      </c>
      <c r="C5" s="179">
        <f>IF('DOE25'!G665+'DOE25'!G670=0,0,ROUND('DOE25'!G672,0))</f>
        <v>13589</v>
      </c>
    </row>
    <row r="6" spans="1:4" x14ac:dyDescent="0.2">
      <c r="B6" t="s">
        <v>62</v>
      </c>
      <c r="C6" s="179">
        <f>IF('DOE25'!H665+'DOE25'!H670=0,0,ROUND('DOE25'!H672,0))</f>
        <v>12917</v>
      </c>
    </row>
    <row r="7" spans="1:4" x14ac:dyDescent="0.2">
      <c r="B7" t="s">
        <v>699</v>
      </c>
      <c r="C7" s="179">
        <f>IF('DOE25'!I665+'DOE25'!I670=0,0,ROUND('DOE25'!I672,0))</f>
        <v>13333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28730301</v>
      </c>
      <c r="D10" s="182">
        <f>ROUND((C10/$C$28)*100,1)</f>
        <v>44.6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12052775</v>
      </c>
      <c r="D11" s="182">
        <f>ROUND((C11/$C$28)*100,1)</f>
        <v>18.7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49039</v>
      </c>
      <c r="D12" s="182">
        <f>ROUND((C12/$C$28)*100,1)</f>
        <v>0.1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1351225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4381192</v>
      </c>
      <c r="D15" s="182">
        <f t="shared" ref="D15:D27" si="0">ROUND((C15/$C$28)*100,1)</f>
        <v>6.8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1586405</v>
      </c>
      <c r="D16" s="182">
        <f t="shared" si="0"/>
        <v>2.5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1575464</v>
      </c>
      <c r="D17" s="182">
        <f t="shared" si="0"/>
        <v>2.4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4653804</v>
      </c>
      <c r="D18" s="182">
        <f t="shared" si="0"/>
        <v>7.2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647408</v>
      </c>
      <c r="D19" s="182">
        <f t="shared" si="0"/>
        <v>1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5124281</v>
      </c>
      <c r="D20" s="182">
        <f t="shared" si="0"/>
        <v>8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2798559</v>
      </c>
      <c r="D21" s="182">
        <f t="shared" si="0"/>
        <v>4.3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1679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10610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1262434</v>
      </c>
      <c r="D25" s="182">
        <f t="shared" si="0"/>
        <v>2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9151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141632.67999999993</v>
      </c>
      <c r="D27" s="182">
        <f t="shared" si="0"/>
        <v>0.2</v>
      </c>
    </row>
    <row r="28" spans="1:4" x14ac:dyDescent="0.2">
      <c r="B28" s="187" t="s">
        <v>717</v>
      </c>
      <c r="C28" s="180">
        <f>SUM(C10:C27)</f>
        <v>64375959.68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64375959.68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2570000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41913435</v>
      </c>
      <c r="D35" s="182">
        <f t="shared" ref="D35:D40" si="1">ROUND((C35/$C$41)*100,1)</f>
        <v>65.5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1506960.8099999949</v>
      </c>
      <c r="D36" s="182">
        <f t="shared" si="1"/>
        <v>2.4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17420748</v>
      </c>
      <c r="D37" s="182">
        <f t="shared" si="1"/>
        <v>27.2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1395633</v>
      </c>
      <c r="D38" s="182">
        <f t="shared" si="1"/>
        <v>2.2000000000000002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1742320</v>
      </c>
      <c r="D39" s="182">
        <f t="shared" si="1"/>
        <v>2.7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63979096.809999995</v>
      </c>
      <c r="D41" s="184">
        <f>SUM(D35:D40)</f>
        <v>100.00000000000001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Bedford SD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2018-10-10T13:19:06Z</cp:lastPrinted>
  <dcterms:created xsi:type="dcterms:W3CDTF">1997-12-04T19:04:30Z</dcterms:created>
  <dcterms:modified xsi:type="dcterms:W3CDTF">2018-12-03T18:32:49Z</dcterms:modified>
</cp:coreProperties>
</file>