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C38" i="12"/>
  <c r="C37" i="12"/>
  <c r="B39" i="12"/>
  <c r="B38" i="12"/>
  <c r="B37" i="12"/>
  <c r="C29" i="12"/>
  <c r="C28" i="12"/>
  <c r="B29" i="12"/>
  <c r="B28" i="12"/>
  <c r="C21" i="12"/>
  <c r="C20" i="12"/>
  <c r="C19" i="12"/>
  <c r="B20" i="12"/>
  <c r="B21" i="12"/>
  <c r="B19" i="12"/>
  <c r="C10" i="12"/>
  <c r="C12" i="12"/>
  <c r="C11" i="12"/>
  <c r="B12" i="12"/>
  <c r="B11" i="12"/>
  <c r="B10" i="12"/>
  <c r="G102" i="1" l="1"/>
  <c r="G335" i="1"/>
  <c r="I335" i="1" l="1"/>
  <c r="H335" i="1"/>
  <c r="F335" i="1"/>
  <c r="K350" i="1" l="1"/>
  <c r="I333" i="1"/>
  <c r="H333" i="1"/>
  <c r="H243" i="1" l="1"/>
  <c r="H225" i="1"/>
  <c r="H207" i="1"/>
  <c r="I221" i="1" l="1"/>
  <c r="I222" i="1"/>
  <c r="H240" i="1" l="1"/>
  <c r="H222" i="1"/>
  <c r="H204" i="1"/>
  <c r="I591" i="1" l="1"/>
  <c r="H591" i="1"/>
  <c r="F208" i="1"/>
  <c r="I597" i="1" l="1"/>
  <c r="H597" i="1"/>
  <c r="J591" i="1" l="1"/>
  <c r="J595" i="1"/>
  <c r="I595" i="1"/>
  <c r="H595" i="1"/>
  <c r="J594" i="1"/>
  <c r="I594" i="1"/>
  <c r="H594" i="1"/>
  <c r="J592" i="1"/>
  <c r="I592" i="1"/>
  <c r="H592" i="1"/>
  <c r="K222" i="1" l="1"/>
  <c r="J222" i="1"/>
  <c r="I604" i="1"/>
  <c r="H604" i="1"/>
  <c r="H559" i="1" l="1"/>
  <c r="G558" i="1"/>
  <c r="F558" i="1"/>
  <c r="K557" i="1"/>
  <c r="J557" i="1"/>
  <c r="I557" i="1"/>
  <c r="H557" i="1"/>
  <c r="G557" i="1"/>
  <c r="F557" i="1"/>
  <c r="H582" i="1" l="1"/>
  <c r="H578" i="1"/>
  <c r="G582" i="1"/>
  <c r="G578" i="1"/>
  <c r="F582" i="1"/>
  <c r="F578" i="1"/>
  <c r="H581" i="1"/>
  <c r="H579" i="1"/>
  <c r="F579" i="1"/>
  <c r="F120" i="1" l="1"/>
  <c r="G526" i="1"/>
  <c r="F526" i="1"/>
  <c r="J521" i="1"/>
  <c r="H527" i="1"/>
  <c r="H526" i="1"/>
  <c r="G528" i="1"/>
  <c r="G527" i="1"/>
  <c r="F528" i="1"/>
  <c r="F527" i="1"/>
  <c r="J523" i="1"/>
  <c r="J522" i="1"/>
  <c r="I523" i="1"/>
  <c r="I522" i="1"/>
  <c r="I521" i="1"/>
  <c r="H523" i="1"/>
  <c r="H522" i="1"/>
  <c r="H521" i="1"/>
  <c r="G523" i="1"/>
  <c r="G522" i="1"/>
  <c r="G521" i="1"/>
  <c r="F523" i="1"/>
  <c r="F522" i="1"/>
  <c r="F521" i="1"/>
  <c r="G543" i="1"/>
  <c r="F543" i="1"/>
  <c r="J526" i="1"/>
  <c r="G542" i="1"/>
  <c r="G541" i="1"/>
  <c r="F542" i="1"/>
  <c r="F541" i="1"/>
  <c r="K533" i="1"/>
  <c r="K532" i="1"/>
  <c r="K531" i="1"/>
  <c r="J533" i="1"/>
  <c r="J532" i="1"/>
  <c r="J531" i="1"/>
  <c r="I533" i="1"/>
  <c r="I532" i="1"/>
  <c r="I531" i="1"/>
  <c r="H533" i="1"/>
  <c r="H532" i="1"/>
  <c r="H531" i="1"/>
  <c r="G533" i="1"/>
  <c r="G532" i="1"/>
  <c r="G531" i="1"/>
  <c r="F533" i="1"/>
  <c r="F532" i="1"/>
  <c r="F531" i="1"/>
  <c r="H528" i="1" l="1"/>
  <c r="I528" i="1"/>
  <c r="I527" i="1"/>
  <c r="I526" i="1"/>
  <c r="I243" i="1"/>
  <c r="H242" i="1"/>
  <c r="H236" i="1"/>
  <c r="I225" i="1"/>
  <c r="H224" i="1"/>
  <c r="H218" i="1"/>
  <c r="I207" i="1"/>
  <c r="H206" i="1"/>
  <c r="H200" i="1"/>
  <c r="G245" i="1" l="1"/>
  <c r="G244" i="1"/>
  <c r="G243" i="1"/>
  <c r="G242" i="1"/>
  <c r="G241" i="1"/>
  <c r="G240" i="1"/>
  <c r="G239" i="1"/>
  <c r="G238" i="1"/>
  <c r="G236" i="1"/>
  <c r="G235" i="1"/>
  <c r="G234" i="1"/>
  <c r="G233" i="1"/>
  <c r="G227" i="1"/>
  <c r="G226" i="1"/>
  <c r="G225" i="1"/>
  <c r="G224" i="1"/>
  <c r="G223" i="1"/>
  <c r="G222" i="1"/>
  <c r="G221" i="1"/>
  <c r="G220" i="1"/>
  <c r="G218" i="1"/>
  <c r="G216" i="1"/>
  <c r="G215" i="1"/>
  <c r="G209" i="1"/>
  <c r="G208" i="1"/>
  <c r="G207" i="1"/>
  <c r="G206" i="1"/>
  <c r="G205" i="1"/>
  <c r="G204" i="1"/>
  <c r="G203" i="1"/>
  <c r="G202" i="1"/>
  <c r="G200" i="1"/>
  <c r="G198" i="1"/>
  <c r="G197" i="1"/>
  <c r="F240" i="1" l="1"/>
  <c r="F238" i="1"/>
  <c r="F233" i="1"/>
  <c r="F241" i="1"/>
  <c r="F239" i="1"/>
  <c r="F235" i="1"/>
  <c r="F234" i="1"/>
  <c r="F222" i="1"/>
  <c r="F220" i="1"/>
  <c r="F215" i="1"/>
  <c r="F204" i="1"/>
  <c r="F202" i="1"/>
  <c r="F197" i="1"/>
  <c r="F205" i="1"/>
  <c r="H368" i="1" l="1"/>
  <c r="G368" i="1"/>
  <c r="F368" i="1"/>
  <c r="H367" i="1"/>
  <c r="G367" i="1"/>
  <c r="F367" i="1"/>
  <c r="H360" i="1"/>
  <c r="H359" i="1"/>
  <c r="H358" i="1"/>
  <c r="G358" i="1"/>
  <c r="F358" i="1"/>
  <c r="K360" i="1"/>
  <c r="J360" i="1"/>
  <c r="I360" i="1"/>
  <c r="G360" i="1"/>
  <c r="F360" i="1"/>
  <c r="K359" i="1"/>
  <c r="J359" i="1"/>
  <c r="I359" i="1"/>
  <c r="G359" i="1"/>
  <c r="F359" i="1"/>
  <c r="K358" i="1"/>
  <c r="J358" i="1"/>
  <c r="I358" i="1"/>
  <c r="H320" i="1" l="1"/>
  <c r="I319" i="1"/>
  <c r="H319" i="1"/>
  <c r="G319" i="1"/>
  <c r="F319" i="1"/>
  <c r="J316" i="1"/>
  <c r="I316" i="1"/>
  <c r="G316" i="1"/>
  <c r="F316" i="1"/>
  <c r="K316" i="1"/>
  <c r="H316" i="1"/>
  <c r="H315" i="1"/>
  <c r="J233" i="1"/>
  <c r="I314" i="1"/>
  <c r="G314" i="1"/>
  <c r="F314" i="1"/>
  <c r="H301" i="1"/>
  <c r="I300" i="1"/>
  <c r="G300" i="1"/>
  <c r="F300" i="1"/>
  <c r="J297" i="1"/>
  <c r="I297" i="1"/>
  <c r="G297" i="1"/>
  <c r="F297" i="1"/>
  <c r="J295" i="1"/>
  <c r="J215" i="1"/>
  <c r="I295" i="1"/>
  <c r="G295" i="1"/>
  <c r="F295" i="1"/>
  <c r="G281" i="1"/>
  <c r="F281" i="1"/>
  <c r="H282" i="1"/>
  <c r="G282" i="1"/>
  <c r="K277" i="1"/>
  <c r="J277" i="1"/>
  <c r="I277" i="1"/>
  <c r="H277" i="1"/>
  <c r="G277" i="1"/>
  <c r="F277" i="1"/>
  <c r="J198" i="1"/>
  <c r="J276" i="1"/>
  <c r="J197" i="1"/>
  <c r="I276" i="1"/>
  <c r="H276" i="1"/>
  <c r="G276" i="1" l="1"/>
  <c r="F276" i="1"/>
  <c r="H307" i="1" l="1"/>
  <c r="H288" i="1"/>
  <c r="H306" i="1"/>
  <c r="H287" i="1"/>
  <c r="I321" i="1"/>
  <c r="H321" i="1"/>
  <c r="G321" i="1"/>
  <c r="F321" i="1"/>
  <c r="I302" i="1"/>
  <c r="H302" i="1"/>
  <c r="G302" i="1"/>
  <c r="F302" i="1"/>
  <c r="I283" i="1"/>
  <c r="H283" i="1"/>
  <c r="G283" i="1"/>
  <c r="F283" i="1"/>
  <c r="H300" i="1"/>
  <c r="H281" i="1"/>
  <c r="J319" i="1"/>
  <c r="J300" i="1"/>
  <c r="J281" i="1"/>
  <c r="I281" i="1"/>
  <c r="I298" i="1" l="1"/>
  <c r="H298" i="1"/>
  <c r="G298" i="1"/>
  <c r="F298" i="1"/>
  <c r="I279" i="1"/>
  <c r="H279" i="1"/>
  <c r="G279" i="1"/>
  <c r="F279" i="1"/>
  <c r="J315" i="1"/>
  <c r="I315" i="1"/>
  <c r="G315" i="1"/>
  <c r="F315" i="1"/>
  <c r="J296" i="1"/>
  <c r="I296" i="1"/>
  <c r="H296" i="1"/>
  <c r="G296" i="1"/>
  <c r="F296" i="1"/>
  <c r="F244" i="1" l="1"/>
  <c r="F243" i="1"/>
  <c r="K241" i="1"/>
  <c r="J241" i="1"/>
  <c r="I241" i="1"/>
  <c r="H241" i="1"/>
  <c r="K240" i="1"/>
  <c r="J239" i="1"/>
  <c r="I239" i="1"/>
  <c r="H239" i="1"/>
  <c r="J238" i="1"/>
  <c r="I238" i="1"/>
  <c r="H238" i="1"/>
  <c r="K238" i="1"/>
  <c r="K236" i="1"/>
  <c r="J236" i="1"/>
  <c r="I236" i="1"/>
  <c r="F236" i="1"/>
  <c r="J235" i="1"/>
  <c r="I235" i="1"/>
  <c r="H235" i="1"/>
  <c r="H234" i="1"/>
  <c r="I234" i="1"/>
  <c r="K233" i="1"/>
  <c r="I233" i="1"/>
  <c r="H233" i="1"/>
  <c r="F226" i="1"/>
  <c r="F225" i="1"/>
  <c r="K223" i="1"/>
  <c r="J223" i="1"/>
  <c r="I223" i="1"/>
  <c r="H223" i="1"/>
  <c r="F223" i="1"/>
  <c r="H221" i="1"/>
  <c r="F221" i="1"/>
  <c r="K220" i="1"/>
  <c r="I220" i="1"/>
  <c r="H220" i="1"/>
  <c r="I218" i="1"/>
  <c r="K218" i="1"/>
  <c r="F218" i="1"/>
  <c r="F216" i="1"/>
  <c r="I216" i="1"/>
  <c r="H216" i="1"/>
  <c r="K215" i="1"/>
  <c r="I215" i="1"/>
  <c r="H215" i="1"/>
  <c r="I198" i="1"/>
  <c r="H198" i="1"/>
  <c r="F198" i="1"/>
  <c r="F207" i="1"/>
  <c r="K205" i="1"/>
  <c r="J205" i="1"/>
  <c r="I205" i="1"/>
  <c r="H205" i="1"/>
  <c r="I203" i="1"/>
  <c r="H203" i="1"/>
  <c r="F203" i="1"/>
  <c r="J202" i="1"/>
  <c r="K202" i="1"/>
  <c r="I202" i="1"/>
  <c r="H202" i="1"/>
  <c r="I200" i="1"/>
  <c r="F200" i="1"/>
  <c r="K200" i="1"/>
  <c r="I197" i="1"/>
  <c r="H197" i="1"/>
  <c r="F245" i="1" l="1"/>
  <c r="F227" i="1"/>
  <c r="F209" i="1"/>
  <c r="K244" i="1" l="1"/>
  <c r="J244" i="1"/>
  <c r="I244" i="1"/>
  <c r="H244" i="1"/>
  <c r="J226" i="1"/>
  <c r="I226" i="1"/>
  <c r="H226" i="1"/>
  <c r="K208" i="1"/>
  <c r="J208" i="1"/>
  <c r="I208" i="1"/>
  <c r="H208" i="1"/>
  <c r="J225" i="1"/>
  <c r="J207" i="1"/>
  <c r="J243" i="1"/>
  <c r="K242" i="1"/>
  <c r="K224" i="1"/>
  <c r="F224" i="1"/>
  <c r="K206" i="1"/>
  <c r="F206" i="1"/>
  <c r="J240" i="1"/>
  <c r="I240" i="1"/>
  <c r="K204" i="1"/>
  <c r="J204" i="1"/>
  <c r="I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130" i="2" s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C18" i="2" s="1"/>
  <c r="D8" i="2"/>
  <c r="D18" i="2" s="1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D115" i="2"/>
  <c r="F115" i="2"/>
  <c r="G115" i="2"/>
  <c r="E121" i="2"/>
  <c r="E123" i="2"/>
  <c r="E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H461" i="1" s="1"/>
  <c r="H641" i="1" s="1"/>
  <c r="I452" i="1"/>
  <c r="F460" i="1"/>
  <c r="G460" i="1"/>
  <c r="H460" i="1"/>
  <c r="I460" i="1"/>
  <c r="F461" i="1"/>
  <c r="G461" i="1"/>
  <c r="I461" i="1"/>
  <c r="H642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0" i="1"/>
  <c r="J640" i="1" s="1"/>
  <c r="H640" i="1"/>
  <c r="G641" i="1"/>
  <c r="J641" i="1" s="1"/>
  <c r="G643" i="1"/>
  <c r="J643" i="1" s="1"/>
  <c r="H643" i="1"/>
  <c r="G644" i="1"/>
  <c r="G645" i="1"/>
  <c r="J645" i="1" s="1"/>
  <c r="H645" i="1"/>
  <c r="G652" i="1"/>
  <c r="H652" i="1"/>
  <c r="G653" i="1"/>
  <c r="H653" i="1"/>
  <c r="G654" i="1"/>
  <c r="H654" i="1"/>
  <c r="H655" i="1"/>
  <c r="J655" i="1" s="1"/>
  <c r="F192" i="1"/>
  <c r="F78" i="2"/>
  <c r="D50" i="2"/>
  <c r="G62" i="2"/>
  <c r="D19" i="13"/>
  <c r="C19" i="13" s="1"/>
  <c r="J617" i="1"/>
  <c r="F112" i="1"/>
  <c r="I169" i="1"/>
  <c r="J476" i="1"/>
  <c r="H626" i="1" s="1"/>
  <c r="J140" i="1"/>
  <c r="G22" i="2"/>
  <c r="H140" i="1"/>
  <c r="L401" i="1"/>
  <c r="C139" i="2" s="1"/>
  <c r="H25" i="13"/>
  <c r="C25" i="13" s="1"/>
  <c r="H192" i="1"/>
  <c r="L570" i="1"/>
  <c r="G36" i="2"/>
  <c r="L565" i="1"/>
  <c r="H33" i="13"/>
  <c r="A31" i="12" l="1"/>
  <c r="G476" i="1"/>
  <c r="H623" i="1" s="1"/>
  <c r="E114" i="2"/>
  <c r="E78" i="2"/>
  <c r="E81" i="2" s="1"/>
  <c r="L256" i="1"/>
  <c r="D62" i="2"/>
  <c r="D63" i="2" s="1"/>
  <c r="F476" i="1"/>
  <c r="H622" i="1" s="1"/>
  <c r="J622" i="1" s="1"/>
  <c r="K598" i="1"/>
  <c r="G647" i="1" s="1"/>
  <c r="L560" i="1"/>
  <c r="F571" i="1"/>
  <c r="H476" i="1"/>
  <c r="H624" i="1" s="1"/>
  <c r="J624" i="1" s="1"/>
  <c r="C70" i="2"/>
  <c r="C81" i="2" s="1"/>
  <c r="J552" i="1"/>
  <c r="L544" i="1"/>
  <c r="K545" i="1"/>
  <c r="J545" i="1"/>
  <c r="K551" i="1"/>
  <c r="H545" i="1"/>
  <c r="I545" i="1"/>
  <c r="G545" i="1"/>
  <c r="L524" i="1"/>
  <c r="F552" i="1"/>
  <c r="K550" i="1"/>
  <c r="K549" i="1"/>
  <c r="G161" i="2"/>
  <c r="C91" i="2"/>
  <c r="C78" i="2"/>
  <c r="J623" i="1"/>
  <c r="H112" i="1"/>
  <c r="G661" i="1"/>
  <c r="L362" i="1"/>
  <c r="G635" i="1" s="1"/>
  <c r="J635" i="1" s="1"/>
  <c r="H661" i="1"/>
  <c r="E111" i="2"/>
  <c r="C26" i="10"/>
  <c r="E124" i="2"/>
  <c r="G662" i="1"/>
  <c r="E120" i="2"/>
  <c r="E119" i="2"/>
  <c r="L328" i="1"/>
  <c r="E118" i="2"/>
  <c r="F338" i="1"/>
  <c r="F352" i="1" s="1"/>
  <c r="H338" i="1"/>
  <c r="H352" i="1" s="1"/>
  <c r="L309" i="1"/>
  <c r="G338" i="1"/>
  <c r="G352" i="1" s="1"/>
  <c r="C11" i="10"/>
  <c r="E110" i="2"/>
  <c r="L290" i="1"/>
  <c r="C12" i="10"/>
  <c r="A13" i="12"/>
  <c r="C121" i="2"/>
  <c r="C119" i="2"/>
  <c r="C13" i="10"/>
  <c r="C18" i="10"/>
  <c r="C16" i="10"/>
  <c r="D7" i="13"/>
  <c r="C7" i="13" s="1"/>
  <c r="A40" i="12"/>
  <c r="C112" i="2"/>
  <c r="C125" i="2"/>
  <c r="E16" i="13"/>
  <c r="C16" i="13" s="1"/>
  <c r="G651" i="1"/>
  <c r="J651" i="1" s="1"/>
  <c r="G650" i="1"/>
  <c r="J650" i="1" s="1"/>
  <c r="C21" i="10"/>
  <c r="D14" i="13"/>
  <c r="C14" i="13" s="1"/>
  <c r="C123" i="2"/>
  <c r="C20" i="10"/>
  <c r="C122" i="2"/>
  <c r="C17" i="10"/>
  <c r="K257" i="1"/>
  <c r="K271" i="1" s="1"/>
  <c r="L247" i="1"/>
  <c r="C118" i="2"/>
  <c r="C110" i="2"/>
  <c r="L211" i="1"/>
  <c r="J257" i="1"/>
  <c r="J271" i="1" s="1"/>
  <c r="I257" i="1"/>
  <c r="I271" i="1" s="1"/>
  <c r="G257" i="1"/>
  <c r="G271" i="1" s="1"/>
  <c r="F257" i="1"/>
  <c r="F271" i="1" s="1"/>
  <c r="L229" i="1"/>
  <c r="C109" i="2"/>
  <c r="D5" i="13"/>
  <c r="C5" i="13" s="1"/>
  <c r="H257" i="1"/>
  <c r="H271" i="1" s="1"/>
  <c r="E109" i="2"/>
  <c r="C62" i="2"/>
  <c r="E57" i="2"/>
  <c r="E62" i="2" s="1"/>
  <c r="E63" i="2" s="1"/>
  <c r="F661" i="1"/>
  <c r="C19" i="10"/>
  <c r="C15" i="10"/>
  <c r="C10" i="10"/>
  <c r="G112" i="1"/>
  <c r="F22" i="13"/>
  <c r="C22" i="13" s="1"/>
  <c r="G552" i="1"/>
  <c r="D29" i="13"/>
  <c r="C29" i="13" s="1"/>
  <c r="E8" i="13"/>
  <c r="C8" i="13" s="1"/>
  <c r="D12" i="13"/>
  <c r="C12" i="13" s="1"/>
  <c r="L539" i="1"/>
  <c r="K503" i="1"/>
  <c r="L382" i="1"/>
  <c r="G636" i="1" s="1"/>
  <c r="J636" i="1" s="1"/>
  <c r="K352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K552" i="1" l="1"/>
  <c r="L545" i="1"/>
  <c r="I661" i="1"/>
  <c r="E104" i="2"/>
  <c r="I662" i="1"/>
  <c r="L338" i="1"/>
  <c r="L352" i="1" s="1"/>
  <c r="G633" i="1" s="1"/>
  <c r="J633" i="1" s="1"/>
  <c r="E128" i="2"/>
  <c r="H660" i="1"/>
  <c r="H664" i="1" s="1"/>
  <c r="H667" i="1" s="1"/>
  <c r="E115" i="2"/>
  <c r="F660" i="1"/>
  <c r="F664" i="1" s="1"/>
  <c r="F33" i="13"/>
  <c r="H648" i="1"/>
  <c r="J648" i="1" s="1"/>
  <c r="C128" i="2"/>
  <c r="L257" i="1"/>
  <c r="L271" i="1" s="1"/>
  <c r="G632" i="1" s="1"/>
  <c r="J632" i="1" s="1"/>
  <c r="G660" i="1"/>
  <c r="G664" i="1" s="1"/>
  <c r="G667" i="1" s="1"/>
  <c r="C115" i="2"/>
  <c r="L408" i="1"/>
  <c r="C63" i="2"/>
  <c r="C104" i="2" s="1"/>
  <c r="D31" i="13"/>
  <c r="C31" i="13" s="1"/>
  <c r="E33" i="13"/>
  <c r="D35" i="13" s="1"/>
  <c r="C28" i="10"/>
  <c r="D23" i="10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E145" i="2"/>
  <c r="D33" i="13"/>
  <c r="D36" i="13" s="1"/>
  <c r="C145" i="2"/>
  <c r="I660" i="1"/>
  <c r="I664" i="1" s="1"/>
  <c r="I672" i="1" s="1"/>
  <c r="C7" i="10" s="1"/>
  <c r="G672" i="1"/>
  <c r="C5" i="10" s="1"/>
  <c r="D12" i="10"/>
  <c r="D25" i="10"/>
  <c r="D13" i="10"/>
  <c r="D11" i="10"/>
  <c r="D18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F672" i="1"/>
  <c r="C4" i="10" s="1"/>
  <c r="F667" i="1"/>
  <c r="G637" i="1"/>
  <c r="J637" i="1" s="1"/>
  <c r="H646" i="1"/>
  <c r="J646" i="1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<sst xmlns="http://schemas.openxmlformats.org/spreadsheetml/2006/main" count="3962" uniqueCount="918">
  <si>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</si>
  <si>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</si>
  <si>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</si>
  <si>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</si>
  <si>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</si>
  <si>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</si>
  <si>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</si>
  <si>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</si>
  <si>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</si>
  <si>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</si>
  <si>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</si>
  <si>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</si>
  <si>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</si>
  <si>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</si>
  <si>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</si>
  <si>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</si>
  <si>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</si>
  <si>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</si>
  <si>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</si>
  <si>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</si>
  <si>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</si>
  <si>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</si>
  <si>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</si>
  <si>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</si>
  <si>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</si>
  <si>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</si>
  <si>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</si>
  <si>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</si>
  <si>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</si>
  <si>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</si>
  <si>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</si>
  <si>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</si>
  <si>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</si>
  <si>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</si>
  <si>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</si>
  <si>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</si>
  <si>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</si>
  <si>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</si>
  <si>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</si>
  <si>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</si>
  <si>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</si>
  <si>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</si>
  <si>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</si>
  <si>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</si>
  <si>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</si>
  <si>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</si>
  <si>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</si>
  <si>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</si>
  <si>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</si>
  <si>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</si>
  <si>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</si>
  <si>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</si>
  <si>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</si>
  <si>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</si>
  <si>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</si>
  <si>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</si>
  <si>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</si>
  <si>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</si>
  <si>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</si>
  <si>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</si>
  <si>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</si>
  <si>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</si>
  <si>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</si>
  <si>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</si>
  <si>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</si>
  <si>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</si>
  <si>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</si>
  <si>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</si>
  <si>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</si>
  <si>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</si>
  <si>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</si>
  <si>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</si>
  <si>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</si>
  <si>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</si>
  <si>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</si>
  <si>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</si>
  <si>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</si>
  <si>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</si>
  <si>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</si>
  <si>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</si>
  <si>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</si>
  <si>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</si>
  <si>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</si>
  <si>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</si>
  <si>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</si>
  <si>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</si>
  <si>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</si>
  <si>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</si>
  <si>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</si>
  <si>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</si>
  <si>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</si>
  <si>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</si>
  <si>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</si>
  <si>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</si>
  <si>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</si>
  <si>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</si>
  <si>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</si>
  <si>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</si>
  <si>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</si>
  <si>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</si>
  <si>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</si>
  <si>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</si>
  <si>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</si>
  <si>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</si>
  <si>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</si>
  <si>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</si>
  <si>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</si>
  <si>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</si>
  <si>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</si>
  <si>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</si>
  <si>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</si>
  <si>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</si>
  <si>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</si>
  <si>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</si>
  <si>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</si>
  <si>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</si>
  <si>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</si>
  <si>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</si>
  <si>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</si>
  <si>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</si>
  <si>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</si>
  <si>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</si>
  <si>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</si>
  <si>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</si>
  <si>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</si>
  <si>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</si>
  <si>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</si>
  <si>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</si>
  <si>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</si>
  <si>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</si>
  <si>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</si>
  <si>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</si>
  <si>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</si>
  <si>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</si>
  <si>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</si>
  <si>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</si>
  <si>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</si>
  <si>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</si>
  <si>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</si>
  <si>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</si>
  <si>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</si>
  <si>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</si>
  <si>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</si>
  <si>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</si>
  <si>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</si>
  <si>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</si>
  <si>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</si>
  <si>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</si>
  <si>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</si>
  <si>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</si>
  <si>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</si>
  <si>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</si>
  <si>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</si>
  <si>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</si>
  <si>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</si>
  <si>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</si>
  <si>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</si>
  <si>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</si>
  <si>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</si>
  <si>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</si>
  <si>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</si>
  <si>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</si>
  <si>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</si>
  <si>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</si>
  <si>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</si>
  <si>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</si>
  <si>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</si>
  <si>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</si>
  <si>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</si>
  <si>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</si>
  <si>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</si>
  <si>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</si>
  <si>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</si>
  <si>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</si>
  <si>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</si>
  <si>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</si>
  <si>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</si>
  <si>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</si>
  <si>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</si>
  <si>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</si>
  <si>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</si>
  <si>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</si>
  <si>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</si>
  <si>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</si>
  <si>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</si>
  <si>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</si>
  <si>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</si>
  <si>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</si>
  <si>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</si>
  <si>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</si>
  <si>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</si>
  <si>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</si>
  <si>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</si>
  <si>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</si>
  <si>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</si>
  <si>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</si>
  <si>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</si>
  <si>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</si>
  <si>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</si>
  <si>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</si>
  <si>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</si>
  <si>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</si>
  <si>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</si>
  <si>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</si>
  <si>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</si>
  <si>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</si>
  <si>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</si>
  <si>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</si>
  <si>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</si>
  <si>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</si>
  <si>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</si>
  <si>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</si>
  <si>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</si>
  <si>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</si>
  <si>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</si>
  <si>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</si>
  <si>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</si>
  <si>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</si>
  <si>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</si>
  <si>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</si>
  <si>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</si>
  <si>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</si>
  <si>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</si>
  <si>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</si>
  <si>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</si>
  <si>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</si>
  <si>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</si>
  <si>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</si>
  <si>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</si>
  <si>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</si>
  <si>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</si>
  <si>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</si>
  <si>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</si>
  <si>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</si>
  <si>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</si>
  <si>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</si>
  <si>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</si>
  <si>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</si>
  <si>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</si>
  <si>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</si>
  <si>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</si>
  <si>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</si>
  <si>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</si>
  <si>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</si>
  <si>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</si>
  <si>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</si>
  <si>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</si>
  <si>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</si>
  <si>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</si>
  <si>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</si>
  <si>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</si>
  <si>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</si>
  <si>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</si>
  <si>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</si>
  <si>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</si>
  <si>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</si>
  <si>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</si>
  <si>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</si>
  <si>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</si>
  <si>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</si>
  <si>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</si>
  <si>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</si>
  <si>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</si>
  <si>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</si>
  <si>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</si>
  <si>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</si>
  <si>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</si>
  <si>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</si>
  <si>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</si>
  <si>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</si>
  <si>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</si>
  <si>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</si>
  <si>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</si>
  <si>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</si>
  <si>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</si>
  <si>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</si>
  <si>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</si>
  <si>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</si>
  <si>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</si>
  <si>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</si>
  <si>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</si>
  <si>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</si>
  <si>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</si>
  <si>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</si>
  <si>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</si>
  <si>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</si>
  <si>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</si>
  <si>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</si>
  <si>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</si>
  <si>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</si>
  <si>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</si>
  <si>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</si>
  <si>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</si>
  <si>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</si>
  <si>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</si>
  <si>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</si>
  <si>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</si>
  <si>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</si>
  <si>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</si>
  <si>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</si>
  <si>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</si>
  <si>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</si>
  <si>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</si>
  <si>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</si>
  <si>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</si>
  <si>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</si>
  <si>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</si>
  <si>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</si>
  <si>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</si>
  <si>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</si>
  <si>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</si>
  <si>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</si>
  <si>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</si>
  <si>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</si>
  <si>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</si>
  <si>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</si>
  <si>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</si>
  <si>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</si>
  <si>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</si>
  <si>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</si>
  <si>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</si>
  <si>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</si>
  <si>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</si>
  <si>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</si>
  <si>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</si>
  <si>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</si>
  <si>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</si>
  <si>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</si>
  <si>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</si>
  <si>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</si>
  <si>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</si>
  <si>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</si>
  <si>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</si>
  <si>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</si>
  <si>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</si>
  <si>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</si>
  <si>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</si>
  <si>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</si>
  <si>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</si>
  <si>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</si>
  <si>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</si>
  <si>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</si>
  <si>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</si>
  <si>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</si>
  <si>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</si>
  <si>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</si>
  <si>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</si>
  <si>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</si>
  <si>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</si>
  <si>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</si>
  <si>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</si>
  <si>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</si>
  <si>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</si>
  <si>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</si>
  <si>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</si>
  <si>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</si>
  <si>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</si>
  <si>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</si>
  <si>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</si>
  <si>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</si>
  <si>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</si>
  <si>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</si>
  <si>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</si>
  <si>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</si>
  <si>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</si>
  <si>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</si>
  <si>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</si>
  <si>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</si>
  <si>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</si>
  <si>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</si>
  <si>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</si>
  <si>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</si>
  <si>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</si>
  <si>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</si>
  <si>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</si>
  <si>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</si>
  <si>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</si>
  <si>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</si>
  <si>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</si>
  <si>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</si>
  <si>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</si>
  <si>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</si>
  <si>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</si>
  <si>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</si>
  <si>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</si>
  <si>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</si>
  <si>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</si>
  <si>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</si>
  <si>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</si>
  <si>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</si>
  <si>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</si>
  <si>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</si>
  <si>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</si>
  <si>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</si>
  <si>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</si>
  <si>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</si>
  <si>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</si>
  <si>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</si>
  <si>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</si>
  <si>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</si>
  <si>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</si>
  <si>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</si>
  <si>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</si>
  <si>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</si>
  <si>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</si>
  <si>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</si>
  <si>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</si>
  <si>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</si>
  <si>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</si>
  <si>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</si>
  <si>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</si>
  <si>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</si>
  <si>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</si>
  <si>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</si>
  <si>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</si>
  <si>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</si>
  <si>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</si>
  <si>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</si>
  <si>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</si>
  <si>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</si>
  <si>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</si>
  <si>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</si>
  <si>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</si>
  <si>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</si>
  <si>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</si>
  <si>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</si>
  <si>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</si>
  <si>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</si>
  <si>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</si>
  <si>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</si>
  <si>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</si>
  <si>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</si>
  <si>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</si>
  <si>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</si>
  <si>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</si>
  <si>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</si>
  <si>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</si>
  <si>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</si>
  <si>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</si>
  <si>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</si>
  <si>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</si>
  <si>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</si>
  <si>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</si>
  <si>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</si>
  <si>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</si>
  <si>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</si>
  <si>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</si>
  <si>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</si>
  <si>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</si>
  <si>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</si>
  <si>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</si>
  <si>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</si>
  <si>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</si>
  <si>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</si>
  <si>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</si>
  <si>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</si>
  <si>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</si>
  <si>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</si>
  <si>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</si>
  <si>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</si>
  <si>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</si>
  <si>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</si>
  <si>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</si>
  <si>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</si>
  <si>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</si>
  <si>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</si>
  <si>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</si>
  <si>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</si>
  <si>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</si>
  <si>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</si>
  <si>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</si>
  <si>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</si>
  <si>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</si>
  <si>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</si>
  <si>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</si>
  <si>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</si>
  <si>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</si>
  <si>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</si>
  <si>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</si>
  <si>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</si>
  <si>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</si>
  <si>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</si>
  <si>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</si>
  <si>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</si>
  <si>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</si>
  <si>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</si>
  <si>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</si>
  <si>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</si>
  <si>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</si>
  <si>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</si>
  <si>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</si>
  <si>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</si>
  <si>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</si>
  <si>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</si>
  <si>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</si>
  <si>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</si>
  <si>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</si>
  <si>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</si>
  <si>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</si>
  <si>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</si>
  <si>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</si>
  <si>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</si>
  <si>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</si>
  <si>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</si>
  <si>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</si>
  <si>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</si>
  <si>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</si>
  <si>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</si>
  <si>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</si>
  <si>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</si>
  <si>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</si>
  <si>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</si>
  <si>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</si>
  <si>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</si>
  <si>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</si>
  <si>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</si>
  <si>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</si>
  <si>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</si>
  <si>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</si>
  <si>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</si>
  <si>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</si>
  <si>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</si>
  <si>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</si>
  <si>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</si>
  <si>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</si>
  <si>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</si>
  <si>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</si>
  <si>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</si>
  <si>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</si>
  <si>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</si>
  <si>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</si>
  <si>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</si>
  <si>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</si>
  <si>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</si>
  <si>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</si>
  <si>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</si>
  <si>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</si>
  <si>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</si>
  <si>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</si>
  <si>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</si>
  <si>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</si>
  <si>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</si>
  <si>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</si>
  <si>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</si>
  <si>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</si>
  <si>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</si>
  <si>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</si>
  <si>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</si>
  <si>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</si>
  <si>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</si>
  <si>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</si>
  <si>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</si>
  <si>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</si>
  <si>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</si>
  <si>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</si>
  <si>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</si>
  <si>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</si>
  <si>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</si>
  <si>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</si>
  <si>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</si>
  <si>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</si>
  <si>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</si>
  <si>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</si>
  <si>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</si>
  <si>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</si>
  <si>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</si>
  <si>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</si>
  <si>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</si>
  <si>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</si>
  <si>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</si>
  <si>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</si>
  <si>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</si>
  <si>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</si>
  <si>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</si>
  <si>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</si>
  <si>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</si>
  <si>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</si>
  <si>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</si>
  <si>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</si>
  <si>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</si>
  <si>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</si>
  <si>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</si>
  <si>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</si>
  <si>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</si>
  <si>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</si>
  <si>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</si>
  <si>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</si>
  <si>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</si>
  <si>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</si>
  <si>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</si>
  <si>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</si>
  <si>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</si>
  <si>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</si>
  <si>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</si>
  <si>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</si>
  <si>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</si>
  <si>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</si>
  <si>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</si>
  <si>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</si>
  <si>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</si>
  <si>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</si>
  <si>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</si>
  <si>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</si>
  <si>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</si>
  <si>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</si>
  <si>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</si>
  <si>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</si>
  <si>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</si>
  <si>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</si>
  <si>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</si>
  <si>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</si>
  <si>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</si>
  <si>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</si>
  <si>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</si>
  <si>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</si>
  <si>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</si>
  <si>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</si>
  <si>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</si>
  <si>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</si>
  <si>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</si>
  <si>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</si>
  <si>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</si>
  <si>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</si>
  <si>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</si>
  <si>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</si>
  <si>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</si>
  <si>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</si>
  <si>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</si>
  <si>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</si>
  <si>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</si>
  <si>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</si>
  <si>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</si>
  <si>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</si>
  <si>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</si>
  <si>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</si>
  <si>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</si>
  <si>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</si>
  <si>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</si>
  <si>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</si>
  <si>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</si>
  <si>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</si>
  <si>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</si>
  <si>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</si>
  <si>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</si>
  <si>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</si>
  <si>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</si>
  <si>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</si>
  <si>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</si>
  <si>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</si>
  <si>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</si>
  <si>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</si>
  <si>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</si>
  <si>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</si>
  <si>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</si>
  <si>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</si>
  <si>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</si>
  <si>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</si>
  <si>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</si>
  <si>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</si>
  <si>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</si>
  <si>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</si>
  <si>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</si>
  <si>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</si>
  <si>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</si>
  <si>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</si>
  <si>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</si>
  <si>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</si>
  <si>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</si>
  <si>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</si>
  <si>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</si>
  <si>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</si>
  <si>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</si>
  <si>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</si>
  <si>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</si>
  <si>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</si>
  <si>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</si>
  <si>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</si>
  <si>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</si>
  <si>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</si>
  <si>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</si>
  <si>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</si>
  <si>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</si>
  <si>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</si>
  <si>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</si>
  <si>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</si>
  <si>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</si>
  <si>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</si>
  <si>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</si>
  <si>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</si>
  <si>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</si>
  <si>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</si>
  <si>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</si>
  <si>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</si>
  <si>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</si>
  <si>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</si>
  <si>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</si>
  <si>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</si>
  <si>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</si>
  <si>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</si>
  <si>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</si>
  <si>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</si>
  <si>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</si>
  <si>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</si>
  <si>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</si>
  <si>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</si>
  <si>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</si>
  <si>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</si>
  <si>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</si>
  <si>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</si>
  <si>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</si>
  <si>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</si>
  <si>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</si>
  <si>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</si>
  <si>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</si>
  <si>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</si>
  <si>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</si>
  <si>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</si>
  <si>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</si>
  <si>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</si>
  <si>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</si>
  <si>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</si>
  <si>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</si>
  <si>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</si>
  <si>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</si>
  <si>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</si>
  <si>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</si>
  <si>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</si>
  <si>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</si>
  <si>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</si>
  <si>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</si>
  <si>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</si>
  <si>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</si>
  <si>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</si>
  <si>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</si>
  <si>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</si>
  <si>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</si>
  <si>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</si>
  <si>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</si>
  <si>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</si>
  <si>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</si>
  <si>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</si>
  <si>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</si>
  <si>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</si>
  <si>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</si>
  <si>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</si>
  <si>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</si>
  <si>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</si>
  <si>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</si>
  <si>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</si>
  <si>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</si>
  <si>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</si>
  <si>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</si>
  <si>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</si>
  <si>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</si>
  <si>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</si>
  <si>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</si>
  <si>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</si>
  <si>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</si>
  <si>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</si>
  <si>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</si>
  <si>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</si>
  <si>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</si>
  <si>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</si>
  <si>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</si>
  <si>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</si>
  <si>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</si>
  <si>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</si>
  <si>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</si>
  <si>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</si>
  <si>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</si>
  <si>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</si>
  <si>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</si>
  <si>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</si>
  <si>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</si>
  <si>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</si>
  <si>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</si>
  <si>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</si>
  <si>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</si>
  <si>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</si>
  <si>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</si>
  <si>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</si>
  <si>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</si>
  <si>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</si>
  <si>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</si>
  <si>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</si>
  <si>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</si>
  <si>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</si>
  <si>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</si>
  <si>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</si>
  <si>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</si>
  <si>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</si>
  <si>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</si>
  <si>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</si>
  <si>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</si>
  <si>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</si>
  <si>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</si>
  <si>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</si>
  <si>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</si>
  <si>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</si>
  <si>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</si>
  <si>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</si>
  <si>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</si>
  <si>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</si>
  <si>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</si>
  <si>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</si>
  <si>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</si>
  <si>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</si>
  <si>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</si>
  <si>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</si>
  <si>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</si>
  <si>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</si>
  <si>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</si>
  <si>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</si>
  <si>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</si>
  <si>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</si>
  <si>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</si>
  <si>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</si>
  <si>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</si>
  <si>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</si>
  <si>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</si>
  <si>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</si>
  <si>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</si>
  <si>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</si>
  <si>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</si>
  <si>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</si>
  <si>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</si>
  <si>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</si>
  <si>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</si>
  <si>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</si>
  <si>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</si>
  <si>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</si>
  <si>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</si>
  <si>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</si>
  <si>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</si>
  <si>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</si>
  <si>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</si>
  <si>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</si>
  <si>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</si>
  <si>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</si>
  <si>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</si>
  <si>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</si>
  <si>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</si>
  <si>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</si>
  <si>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</si>
  <si>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</si>
  <si>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</si>
  <si>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</si>
  <si>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</si>
  <si>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</si>
  <si>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</si>
  <si>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</si>
  <si>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</si>
  <si>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</si>
  <si>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</si>
  <si>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</si>
  <si>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</si>
  <si>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</si>
  <si>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</si>
  <si>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</si>
  <si>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</si>
  <si>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</si>
  <si>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</si>
  <si>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</si>
  <si>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</si>
  <si>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</si>
  <si>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</si>
  <si>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</si>
  <si>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</si>
  <si>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</si>
  <si>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</si>
  <si>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</si>
  <si>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</si>
  <si>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</si>
  <si>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</si>
  <si>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</si>
  <si>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</si>
  <si>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</si>
  <si>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</si>
  <si>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</si>
  <si>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</si>
  <si>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</si>
  <si>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</si>
  <si>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</si>
  <si>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</si>
  <si>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</si>
  <si>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</si>
  <si>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</si>
  <si>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</si>
  <si>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</si>
  <si>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</si>
  <si>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</si>
  <si>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</si>
  <si>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</si>
  <si>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</si>
  <si>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</si>
  <si>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</si>
  <si>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</si>
  <si>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</si>
  <si>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</si>
  <si>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</si>
  <si>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</si>
  <si>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</si>
  <si>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</si>
  <si>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</si>
  <si>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</si>
  <si>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</si>
  <si>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</si>
  <si>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</si>
  <si>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</si>
  <si>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</si>
  <si>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</si>
  <si>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</si>
  <si>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01/10</t>
  </si>
  <si>
    <t>08/25</t>
  </si>
  <si>
    <t>Healthy Schools Food Champions Grant &amp; Nutrition</t>
  </si>
  <si>
    <t xml:space="preserve">Wellness Grant </t>
  </si>
  <si>
    <t>Booked in Fund 22, Pg 1, Ln 1, Column 3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</si>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</sst>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648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917</v>
      </c>
      <c r="B2" s="21">
        <v>51</v>
      </c>
      <c r="C2" s="21">
        <v>51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/>
      <c r="G9" s="18">
        <v>17572.78</v>
      </c>
      <c r="H9" s="18">
        <v>70544.13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17572.78</v>
      </c>
      <c r="H19" s="41">
        <f>SUM(H9:H18)</f>
        <v>70544.13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17572.78</v>
      </c>
      <c r="H48" s="18">
        <v>70544.13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17572.78</v>
      </c>
      <c r="H51" s="41">
        <f>SUM(H35:H50)</f>
        <v>70544.13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17572.78</v>
      </c>
      <c r="H52" s="41">
        <f>H51+H32</f>
        <v>70544.13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5574876.6100000003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5574876.6100000003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1394512.26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59099.69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1453611.95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2198.42</v>
      </c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2198.42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191234.33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3021.58</v>
      </c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>
        <f>443.91</f>
        <v>443.91</v>
      </c>
      <c r="H102" s="18">
        <v>105815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10125.08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13146.66</v>
      </c>
      <c r="G111" s="41">
        <f>SUM(G96:G110)</f>
        <v>191678.24</v>
      </c>
      <c r="H111" s="41">
        <f>SUM(H96:H110)</f>
        <v>105815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7043833.6400000006</v>
      </c>
      <c r="G112" s="41">
        <f>G60+G111</f>
        <v>191678.24</v>
      </c>
      <c r="H112" s="41">
        <f>H60+H79+H94+H111</f>
        <v>105815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9828693.9299999997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632121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632.23+12437.35</f>
        <v>13069.58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10473884.51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70280.679999999993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8088.82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19410.240000000002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8920.44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55644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70280.679999999993</v>
      </c>
      <c r="G136" s="41">
        <f>SUM(G123:G135)</f>
        <v>8920.44</v>
      </c>
      <c r="H136" s="41">
        <f>SUM(H123:H135)</f>
        <v>83143.06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10544165.189999999</v>
      </c>
      <c r="G140" s="41">
        <f>G121+SUM(G136:G137)</f>
        <v>8920.44</v>
      </c>
      <c r="H140" s="41">
        <f>H121+SUM(H136:H139)</f>
        <v>83143.06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744219.14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348974.63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74154.259999999995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411332.22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400278.9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295264.49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788395.64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295264.49</v>
      </c>
      <c r="G162" s="41">
        <f>SUM(G150:G161)</f>
        <v>411332.22</v>
      </c>
      <c r="H162" s="41">
        <f>SUM(H150:H161)</f>
        <v>2356022.5700000003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6634.66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7760.58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303025.07</v>
      </c>
      <c r="G169" s="41">
        <f>G147+G162+SUM(G163:G168)</f>
        <v>411332.22</v>
      </c>
      <c r="H169" s="41">
        <f>H147+H162+SUM(H163:H168)</f>
        <v>2362657.2300000004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17891023.899999999</v>
      </c>
      <c r="G193" s="47">
        <f>G112+G140+G169+G192</f>
        <v>611930.89999999991</v>
      </c>
      <c r="H193" s="47">
        <f>H112+H140+H169+H192</f>
        <v>2551615.2900000005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64385.84+1739045.95+8000+840</f>
        <v>1812271.79</v>
      </c>
      <c r="G197" s="18">
        <f>43570.59+809463.26+13937.05</f>
        <v>866970.9</v>
      </c>
      <c r="H197" s="18">
        <f>29305.27+12986.33</f>
        <v>42291.6</v>
      </c>
      <c r="I197" s="18">
        <f>4676.5+66808.11</f>
        <v>71484.61</v>
      </c>
      <c r="J197" s="18">
        <f>52717.87+22006.88+1409+1142.58</f>
        <v>77276.33</v>
      </c>
      <c r="K197" s="18"/>
      <c r="L197" s="19">
        <f>SUM(F197:K197)</f>
        <v>2870295.23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10513.87+10288.96+700785.01+56506.84</f>
        <v>778094.67999999993</v>
      </c>
      <c r="G198" s="18">
        <f>787.18+1875.87+246286.89+34647.25+5983.84</f>
        <v>289581.03000000003</v>
      </c>
      <c r="H198" s="18">
        <f>69080.63+133145.04+6724.28</f>
        <v>208949.95</v>
      </c>
      <c r="I198" s="18">
        <f>345.96+2935.5+183.54</f>
        <v>3465</v>
      </c>
      <c r="J198" s="18">
        <f>1409</f>
        <v>1409</v>
      </c>
      <c r="K198" s="18"/>
      <c r="L198" s="19">
        <f>SUM(F198:K198)</f>
        <v>1281499.6599999999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24637.7+29572</f>
        <v>54209.7</v>
      </c>
      <c r="G200" s="18">
        <f>2904.16+4495.65+416.89</f>
        <v>7816.7</v>
      </c>
      <c r="H200" s="18">
        <f>1310+39945.7+4886.02</f>
        <v>46141.72</v>
      </c>
      <c r="I200" s="18">
        <f>167+1010.44+1676</f>
        <v>2853.44</v>
      </c>
      <c r="J200" s="18"/>
      <c r="K200" s="18">
        <f>240+160</f>
        <v>400</v>
      </c>
      <c r="L200" s="19">
        <f>SUM(F200:K200)</f>
        <v>111421.56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101721.63+108892.96+85728+77150+2000+840</f>
        <v>376332.59</v>
      </c>
      <c r="G202" s="18">
        <f>54209.62+45405.19+39863.8+29348.44+2894.14</f>
        <v>171721.19</v>
      </c>
      <c r="H202" s="18">
        <f>4199.99+7533.75+8194.08+211234.4+10417.11+17689.51+760</f>
        <v>260028.84000000003</v>
      </c>
      <c r="I202" s="18">
        <f>2412.37+1140.28+939.94+2026.56</f>
        <v>6519.15</v>
      </c>
      <c r="J202" s="18">
        <f>570+3349.09</f>
        <v>3919.09</v>
      </c>
      <c r="K202" s="18">
        <f>329+39.95</f>
        <v>368.95</v>
      </c>
      <c r="L202" s="19">
        <f t="shared" ref="L202:L208" si="0">SUM(F202:K202)</f>
        <v>818889.81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48926.61</f>
        <v>48926.61</v>
      </c>
      <c r="G203" s="18">
        <f>5401.5+17697.72+376.26</f>
        <v>23475.48</v>
      </c>
      <c r="H203" s="18">
        <f>1852.98+1450</f>
        <v>3302.98</v>
      </c>
      <c r="I203" s="18">
        <f>1888.64+6693.97</f>
        <v>8582.61</v>
      </c>
      <c r="J203" s="18"/>
      <c r="K203" s="18"/>
      <c r="L203" s="19">
        <f t="shared" si="0"/>
        <v>84287.679999999993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69458.26+49958.66+1760</f>
        <v>121176.92</v>
      </c>
      <c r="G204" s="18">
        <f>29457.16+12123.68+931.9</f>
        <v>42512.74</v>
      </c>
      <c r="H204" s="18">
        <f>7944.09+7887.34+3349.9+36128.82</f>
        <v>55310.15</v>
      </c>
      <c r="I204" s="18">
        <f>3947.6+2307.96</f>
        <v>6255.5599999999995</v>
      </c>
      <c r="J204" s="18">
        <f>41.99+285.53</f>
        <v>327.52</v>
      </c>
      <c r="K204" s="18">
        <f>9180.1+2167.35+114.58</f>
        <v>11462.03</v>
      </c>
      <c r="L204" s="19">
        <f t="shared" si="0"/>
        <v>237044.91999999998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224608.56+4000</f>
        <v>228608.56</v>
      </c>
      <c r="G205" s="18">
        <f>60022.6+1758.09</f>
        <v>61780.689999999995</v>
      </c>
      <c r="H205" s="18">
        <f>38739.46</f>
        <v>38739.46</v>
      </c>
      <c r="I205" s="18">
        <f>4388.77</f>
        <v>4388.7700000000004</v>
      </c>
      <c r="J205" s="18">
        <f>74.95</f>
        <v>74.95</v>
      </c>
      <c r="K205" s="18">
        <f>1560</f>
        <v>1560</v>
      </c>
      <c r="L205" s="19">
        <f t="shared" si="0"/>
        <v>335152.43000000005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71625.53</f>
        <v>71625.53</v>
      </c>
      <c r="G206" s="18">
        <f>30259.4+550.83</f>
        <v>30810.230000000003</v>
      </c>
      <c r="H206" s="18">
        <f>674.25+13760.87</f>
        <v>14435.12</v>
      </c>
      <c r="I206" s="18"/>
      <c r="J206" s="18"/>
      <c r="K206" s="18">
        <f>2614.69</f>
        <v>2614.69</v>
      </c>
      <c r="L206" s="19">
        <f t="shared" si="0"/>
        <v>119485.57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74376+91834.96</f>
        <v>166210.96000000002</v>
      </c>
      <c r="G207" s="18">
        <f>32681.32+55824.07+1278.23</f>
        <v>89783.62</v>
      </c>
      <c r="H207" s="18">
        <f>158000.11+6124.9+32221.78</f>
        <v>196346.78999999998</v>
      </c>
      <c r="I207" s="18">
        <f>48847.22+36297.67+11801.34</f>
        <v>96946.23</v>
      </c>
      <c r="J207" s="18">
        <f>3175.98+21150</f>
        <v>24325.98</v>
      </c>
      <c r="K207" s="18"/>
      <c r="L207" s="19">
        <f t="shared" si="0"/>
        <v>573613.57999999996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89053.61+1062.67+3434.23+969.77+1659.21</f>
        <v>96179.49</v>
      </c>
      <c r="G208" s="18">
        <f>22830+81.28+262.62+74.13+126.85+739.66</f>
        <v>24114.539999999997</v>
      </c>
      <c r="H208" s="18">
        <f>31068.91</f>
        <v>31068.91</v>
      </c>
      <c r="I208" s="18">
        <f>29326.21</f>
        <v>29326.21</v>
      </c>
      <c r="J208" s="18">
        <f>24566.85</f>
        <v>24566.85</v>
      </c>
      <c r="K208" s="18">
        <f>181.44</f>
        <v>181.44</v>
      </c>
      <c r="L208" s="19">
        <f t="shared" si="0"/>
        <v>205437.44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3089.52</f>
        <v>3089.52</v>
      </c>
      <c r="G209" s="18">
        <f>236.35+23.76</f>
        <v>260.11</v>
      </c>
      <c r="H209" s="18"/>
      <c r="I209" s="18"/>
      <c r="J209" s="18"/>
      <c r="K209" s="18"/>
      <c r="L209" s="19">
        <f>SUM(F209:K209)</f>
        <v>3349.63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3756726.3499999996</v>
      </c>
      <c r="G211" s="41">
        <f t="shared" si="1"/>
        <v>1608827.2300000002</v>
      </c>
      <c r="H211" s="41">
        <f t="shared" si="1"/>
        <v>896615.52000000014</v>
      </c>
      <c r="I211" s="41">
        <f t="shared" si="1"/>
        <v>229821.58</v>
      </c>
      <c r="J211" s="41">
        <f t="shared" si="1"/>
        <v>131899.72</v>
      </c>
      <c r="K211" s="41">
        <f t="shared" si="1"/>
        <v>16587.11</v>
      </c>
      <c r="L211" s="41">
        <f t="shared" si="1"/>
        <v>6640477.5099999998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36791.9+1024597.74+2000+480</f>
        <v>1063869.6399999999</v>
      </c>
      <c r="G215" s="18">
        <f>24897.48+555021.9+8181.56</f>
        <v>588100.94000000006</v>
      </c>
      <c r="H215" s="18">
        <f>16745.87+20679.62</f>
        <v>37425.49</v>
      </c>
      <c r="I215" s="18">
        <f>2672.28+34933.08</f>
        <v>37605.360000000001</v>
      </c>
      <c r="J215" s="18">
        <f>30124.5+28883.96+1563</f>
        <v>60571.46</v>
      </c>
      <c r="K215" s="18">
        <f>1318</f>
        <v>1318</v>
      </c>
      <c r="L215" s="19">
        <f>SUM(F215:K215)</f>
        <v>1788890.8900000001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3650.65+6079.84+435485.11+21372.82</f>
        <v>466588.42</v>
      </c>
      <c r="G216" s="18">
        <f>465.15+651.35+179878.94+4113.36+3588.24</f>
        <v>188697.03999999998</v>
      </c>
      <c r="H216" s="18">
        <f>40820.37+166506.7</f>
        <v>207327.07</v>
      </c>
      <c r="I216" s="18">
        <f>120.13+1746.24</f>
        <v>1866.37</v>
      </c>
      <c r="J216" s="18"/>
      <c r="K216" s="18"/>
      <c r="L216" s="19">
        <f>SUM(F216:K216)</f>
        <v>864478.9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8670.78+26714</f>
        <v>35384.78</v>
      </c>
      <c r="G218" s="18">
        <f>1615.63+4687.15+272.12</f>
        <v>6574.9</v>
      </c>
      <c r="H218" s="18">
        <f>1925+10054.3+2792.01</f>
        <v>14771.31</v>
      </c>
      <c r="I218" s="18">
        <f>3200.68+389.4</f>
        <v>3590.08</v>
      </c>
      <c r="J218" s="18"/>
      <c r="K218" s="18">
        <f>1255</f>
        <v>1255</v>
      </c>
      <c r="L218" s="19">
        <f>SUM(F218:K218)</f>
        <v>61576.07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48977.08+57649.21+81465.98+19906.14+480</f>
        <v>208478.41000000003</v>
      </c>
      <c r="G220" s="18">
        <f>26100.93+24038.05+40797.27+11563.3+1603.28</f>
        <v>104102.83</v>
      </c>
      <c r="H220" s="18">
        <f>2400+4305+4338.04+19455.8+434.05+17689.5+116.18+570</f>
        <v>49308.57</v>
      </c>
      <c r="I220" s="18">
        <f>1161.51+603.68+53.13+1377.59</f>
        <v>3195.91</v>
      </c>
      <c r="J220" s="18"/>
      <c r="K220" s="18">
        <f>548.99+49.95</f>
        <v>598.94000000000005</v>
      </c>
      <c r="L220" s="19">
        <f t="shared" ref="L220:L226" si="2">SUM(F220:K220)</f>
        <v>365684.66000000003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23359.53</f>
        <v>23359.53</v>
      </c>
      <c r="G221" s="18">
        <f>6299.8+15562.09+179.64</f>
        <v>22041.53</v>
      </c>
      <c r="H221" s="18">
        <f>1851.23</f>
        <v>1851.23</v>
      </c>
      <c r="I221" s="18">
        <f>530.63+6556.42</f>
        <v>7087.05</v>
      </c>
      <c r="J221" s="18"/>
      <c r="K221" s="18"/>
      <c r="L221" s="19">
        <f t="shared" si="2"/>
        <v>54339.340000000004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39690.43+29521.02+1040</f>
        <v>70251.45</v>
      </c>
      <c r="G222" s="18">
        <f>16832.67+7163.99+540.26</f>
        <v>24536.919999999995</v>
      </c>
      <c r="H222" s="18">
        <f>4539.48+4507.06+1979.48+20645.04</f>
        <v>31671.06</v>
      </c>
      <c r="I222" s="18">
        <f>2255.77+801.37</f>
        <v>3057.14</v>
      </c>
      <c r="J222" s="18">
        <f>24+168.73+1800</f>
        <v>1992.73</v>
      </c>
      <c r="K222" s="18">
        <f>5245.77+1238.49+67.71</f>
        <v>6551.97</v>
      </c>
      <c r="L222" s="19">
        <f t="shared" si="2"/>
        <v>138061.26999999999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116703.6</f>
        <v>116703.6</v>
      </c>
      <c r="G223" s="18">
        <f>78446.59+897.5</f>
        <v>79344.09</v>
      </c>
      <c r="H223" s="18">
        <f>20149.09</f>
        <v>20149.09</v>
      </c>
      <c r="I223" s="18">
        <f>5102.1</f>
        <v>5102.1000000000004</v>
      </c>
      <c r="J223" s="18">
        <f>1357.92</f>
        <v>1357.92</v>
      </c>
      <c r="K223" s="18">
        <f>1468.97</f>
        <v>1468.97</v>
      </c>
      <c r="L223" s="19">
        <f t="shared" si="2"/>
        <v>224125.77000000002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f>40928.88</f>
        <v>40928.879999999997</v>
      </c>
      <c r="G224" s="18">
        <f>17291.09+314.76</f>
        <v>17605.849999999999</v>
      </c>
      <c r="H224" s="18">
        <f>385.29+7863.36</f>
        <v>8248.65</v>
      </c>
      <c r="I224" s="18"/>
      <c r="J224" s="18"/>
      <c r="K224" s="18">
        <f>1494.11</f>
        <v>1494.11</v>
      </c>
      <c r="L224" s="19">
        <f t="shared" si="2"/>
        <v>68277.489999999991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42500.57+91631.61</f>
        <v>134132.18</v>
      </c>
      <c r="G225" s="18">
        <f>18675.04+53038.58+1031.53</f>
        <v>72745.149999999994</v>
      </c>
      <c r="H225" s="18">
        <f>90285.78+3062.45+18412.44</f>
        <v>111760.67</v>
      </c>
      <c r="I225" s="18">
        <f>27912.7+153892.48+6743.62</f>
        <v>188548.80000000002</v>
      </c>
      <c r="J225" s="18">
        <f>1814.85+25850</f>
        <v>27664.85</v>
      </c>
      <c r="K225" s="18"/>
      <c r="L225" s="19">
        <f t="shared" si="2"/>
        <v>534851.65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32511.64+368.99+912.9+4381.24+1977.37</f>
        <v>40152.14</v>
      </c>
      <c r="G226" s="18">
        <f>8334.77+28.23+69.81+334.86+151.02+308.79</f>
        <v>9227.4800000000014</v>
      </c>
      <c r="H226" s="18">
        <f>11342.62</f>
        <v>11342.62</v>
      </c>
      <c r="I226" s="18">
        <f>10706.4</f>
        <v>10706.4</v>
      </c>
      <c r="J226" s="18">
        <f>8968.85</f>
        <v>8968.85</v>
      </c>
      <c r="K226" s="18">
        <v>66.239999999999995</v>
      </c>
      <c r="L226" s="19">
        <f t="shared" si="2"/>
        <v>80463.73000000001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1765.44</f>
        <v>1765.44</v>
      </c>
      <c r="G227" s="18">
        <f>135.06+13.58</f>
        <v>148.64000000000001</v>
      </c>
      <c r="H227" s="18"/>
      <c r="I227" s="18"/>
      <c r="J227" s="18"/>
      <c r="K227" s="18"/>
      <c r="L227" s="19">
        <f>SUM(F227:K227)</f>
        <v>1914.0800000000002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2201614.4700000002</v>
      </c>
      <c r="G229" s="41">
        <f>SUM(G215:G228)</f>
        <v>1113125.3699999999</v>
      </c>
      <c r="H229" s="41">
        <f>SUM(H215:H228)</f>
        <v>493855.76</v>
      </c>
      <c r="I229" s="41">
        <f>SUM(I215:I228)</f>
        <v>260759.21000000002</v>
      </c>
      <c r="J229" s="41">
        <f>SUM(J215:J228)</f>
        <v>100555.81</v>
      </c>
      <c r="K229" s="41">
        <f t="shared" si="3"/>
        <v>12753.23</v>
      </c>
      <c r="L229" s="41">
        <f t="shared" si="3"/>
        <v>4182663.8499999996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52121.86+1729985.52+8000+680</f>
        <v>1790787.3800000001</v>
      </c>
      <c r="G233" s="18">
        <f>35271.43+829206.67+13771.84</f>
        <v>878249.94000000006</v>
      </c>
      <c r="H233" s="18">
        <f>23723.32+19893.86</f>
        <v>43617.18</v>
      </c>
      <c r="I233" s="18">
        <f>3785.73+59358.84</f>
        <v>63144.57</v>
      </c>
      <c r="J233" s="18">
        <f>42676.38+29355.64+2237</f>
        <v>74269.01999999999</v>
      </c>
      <c r="K233" s="18">
        <f>370</f>
        <v>370</v>
      </c>
      <c r="L233" s="19">
        <f>SUM(F233:K233)</f>
        <v>2850438.0900000003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438.08+7015.2+395041.33+25494+2000</f>
        <v>429988.61000000004</v>
      </c>
      <c r="G234" s="18">
        <f>536.72+78.16+115380.8+15975.4+3306.78</f>
        <v>135277.86000000002</v>
      </c>
      <c r="H234" s="18">
        <f>47100.43+384197.44+41836</f>
        <v>473133.87</v>
      </c>
      <c r="I234" s="18">
        <f>14.42+786.68</f>
        <v>801.09999999999991</v>
      </c>
      <c r="J234" s="18"/>
      <c r="K234" s="18"/>
      <c r="L234" s="19">
        <f>SUM(F234:K234)</f>
        <v>1039201.4400000001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f>464885.54+4000</f>
        <v>468885.54</v>
      </c>
      <c r="G235" s="18">
        <f>241298.98+3605.91</f>
        <v>244904.89</v>
      </c>
      <c r="H235" s="18">
        <f>3010</f>
        <v>3010</v>
      </c>
      <c r="I235" s="18">
        <f>42101.95</f>
        <v>42101.95</v>
      </c>
      <c r="J235" s="18">
        <f>2061.02</f>
        <v>2061.02</v>
      </c>
      <c r="K235" s="18"/>
      <c r="L235" s="19">
        <f>SUM(F235:K235)</f>
        <v>760963.39999999991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20283.41+93889</f>
        <v>114172.41</v>
      </c>
      <c r="G236" s="18">
        <f>4450.05+18488.96+878.03</f>
        <v>23817.039999999997</v>
      </c>
      <c r="H236" s="18">
        <f>39717.51+3955.35</f>
        <v>43672.86</v>
      </c>
      <c r="I236" s="18">
        <f>383.4+17393.57</f>
        <v>17776.97</v>
      </c>
      <c r="J236" s="18">
        <f>2107</f>
        <v>2107</v>
      </c>
      <c r="K236" s="18">
        <f>432+13900.06</f>
        <v>14332.06</v>
      </c>
      <c r="L236" s="19">
        <f>SUM(F236:K236)</f>
        <v>215878.34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37674.68+46973.43+191786.85+38888+680</f>
        <v>316002.96000000002</v>
      </c>
      <c r="G238" s="18">
        <f>20077.64+19586.56+90209.89+35503.77+2430.18</f>
        <v>167808.03999999998</v>
      </c>
      <c r="H238" s="18">
        <f>3400+6098.75+3534.7+47249.8+9734.56+308.72</f>
        <v>70326.53</v>
      </c>
      <c r="I238" s="18">
        <f>893.47+491.88+6305.33+1886.84</f>
        <v>9577.52</v>
      </c>
      <c r="J238" s="18">
        <f>2307.99+619.66</f>
        <v>2927.6499999999996</v>
      </c>
      <c r="K238" s="18">
        <f>374</f>
        <v>374</v>
      </c>
      <c r="L238" s="19">
        <f t="shared" ref="L238:L244" si="4">SUM(F238:K238)</f>
        <v>567016.70000000007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46012+2000</f>
        <v>48012</v>
      </c>
      <c r="G239" s="18">
        <f>10038.15+12415.83+369.23</f>
        <v>22823.21</v>
      </c>
      <c r="H239" s="18">
        <f>4945+3596.33</f>
        <v>8541.33</v>
      </c>
      <c r="I239" s="18">
        <f>3213+6436.05</f>
        <v>9649.0499999999993</v>
      </c>
      <c r="J239" s="18">
        <f>1166.99</f>
        <v>1166.99</v>
      </c>
      <c r="K239" s="18"/>
      <c r="L239" s="19">
        <f t="shared" si="4"/>
        <v>90192.58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56228.11+34062.72+83166.14+2000+1200</f>
        <v>176656.97</v>
      </c>
      <c r="G240" s="18">
        <f>23846.28+8266.14+19859.35+1358.56</f>
        <v>53330.329999999994</v>
      </c>
      <c r="H240" s="18">
        <f>6430.93+6385+2284.02+6555.17+29247.14</f>
        <v>50902.26</v>
      </c>
      <c r="I240" s="18">
        <f>3195.67+96.16</f>
        <v>3291.83</v>
      </c>
      <c r="J240" s="18">
        <f>34+194.69</f>
        <v>228.69</v>
      </c>
      <c r="K240" s="18">
        <f>7431.51+1500+1754.52+78.12+216</f>
        <v>10980.150000000001</v>
      </c>
      <c r="L240" s="19">
        <f t="shared" si="4"/>
        <v>295390.23000000004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242692.54+501</f>
        <v>243193.54</v>
      </c>
      <c r="G241" s="18">
        <f>119429.92+1870.25</f>
        <v>121300.17</v>
      </c>
      <c r="H241" s="18">
        <f>23531.69</f>
        <v>23531.69</v>
      </c>
      <c r="I241" s="18">
        <f>2709.02</f>
        <v>2709.02</v>
      </c>
      <c r="J241" s="18">
        <f>17156.16</f>
        <v>17156.16</v>
      </c>
      <c r="K241" s="18">
        <f>5104</f>
        <v>5104</v>
      </c>
      <c r="L241" s="19">
        <f t="shared" si="4"/>
        <v>412994.58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57982.57</v>
      </c>
      <c r="G242" s="18">
        <f>24495.7+445.91</f>
        <v>24941.61</v>
      </c>
      <c r="H242" s="18">
        <f>545.83+11139.76</f>
        <v>11685.59</v>
      </c>
      <c r="I242" s="18"/>
      <c r="J242" s="18"/>
      <c r="K242" s="18">
        <f>2116.65</f>
        <v>2116.65</v>
      </c>
      <c r="L242" s="19">
        <f t="shared" si="4"/>
        <v>96726.419999999984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60209.14+136073.26</f>
        <v>196282.40000000002</v>
      </c>
      <c r="G243" s="18">
        <f>26456.3+71882.29+1509.49</f>
        <v>99848.08</v>
      </c>
      <c r="H243" s="18">
        <f>127904.85+3482.57+26084.29</f>
        <v>157471.71000000002</v>
      </c>
      <c r="I243" s="18">
        <f>39542.99+167334.14+9553.47</f>
        <v>216430.6</v>
      </c>
      <c r="J243" s="18">
        <f>2571.03</f>
        <v>2571.0300000000002</v>
      </c>
      <c r="K243" s="18"/>
      <c r="L243" s="19">
        <f t="shared" si="4"/>
        <v>672603.82000000007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19789.69+44.28+23.89+15962.93+2259.17</f>
        <v>38079.959999999992</v>
      </c>
      <c r="G244" s="18">
        <f>5073.34+3.39+1.81+1220.59+172.64+292.85</f>
        <v>6764.6200000000017</v>
      </c>
      <c r="H244" s="18">
        <f>6904.2</f>
        <v>6904.2</v>
      </c>
      <c r="I244" s="18">
        <f>6516.94</f>
        <v>6516.94</v>
      </c>
      <c r="J244" s="18">
        <f>5459.3</f>
        <v>5459.3</v>
      </c>
      <c r="K244" s="18">
        <f>40.32</f>
        <v>40.32</v>
      </c>
      <c r="L244" s="19">
        <f t="shared" si="4"/>
        <v>63765.34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2501.04</f>
        <v>2501.04</v>
      </c>
      <c r="G245" s="18">
        <f>191.33+19.23</f>
        <v>210.56</v>
      </c>
      <c r="H245" s="18"/>
      <c r="I245" s="18"/>
      <c r="J245" s="18"/>
      <c r="K245" s="18"/>
      <c r="L245" s="19">
        <f>SUM(F245:K245)</f>
        <v>2711.6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3882545.3800000004</v>
      </c>
      <c r="G247" s="41">
        <f t="shared" si="5"/>
        <v>1779276.3500000003</v>
      </c>
      <c r="H247" s="41">
        <f t="shared" si="5"/>
        <v>892797.22</v>
      </c>
      <c r="I247" s="41">
        <f t="shared" si="5"/>
        <v>371999.55</v>
      </c>
      <c r="J247" s="41">
        <f t="shared" si="5"/>
        <v>107946.86</v>
      </c>
      <c r="K247" s="41">
        <f t="shared" si="5"/>
        <v>33317.18</v>
      </c>
      <c r="L247" s="41">
        <f t="shared" si="5"/>
        <v>7067882.54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9840886.2000000011</v>
      </c>
      <c r="G257" s="41">
        <f t="shared" si="8"/>
        <v>4501228.95</v>
      </c>
      <c r="H257" s="41">
        <f t="shared" si="8"/>
        <v>2283268.5</v>
      </c>
      <c r="I257" s="41">
        <f t="shared" si="8"/>
        <v>862580.34000000008</v>
      </c>
      <c r="J257" s="41">
        <f t="shared" si="8"/>
        <v>340402.39</v>
      </c>
      <c r="K257" s="41">
        <f t="shared" si="8"/>
        <v>62657.520000000004</v>
      </c>
      <c r="L257" s="41">
        <f t="shared" si="8"/>
        <v>17891023.899999999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9840886.2000000011</v>
      </c>
      <c r="G271" s="42">
        <f t="shared" si="11"/>
        <v>4501228.95</v>
      </c>
      <c r="H271" s="42">
        <f t="shared" si="11"/>
        <v>2283268.5</v>
      </c>
      <c r="I271" s="42">
        <f t="shared" si="11"/>
        <v>862580.34000000008</v>
      </c>
      <c r="J271" s="42">
        <f t="shared" si="11"/>
        <v>340402.39</v>
      </c>
      <c r="K271" s="42">
        <f t="shared" si="11"/>
        <v>62657.520000000004</v>
      </c>
      <c r="L271" s="42">
        <f t="shared" si="11"/>
        <v>17891023.899999999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11461.12</f>
        <v>11461.12</v>
      </c>
      <c r="G276" s="18">
        <f>60.56+1469.96</f>
        <v>1530.52</v>
      </c>
      <c r="H276" s="18">
        <f>10481.25</f>
        <v>10481.25</v>
      </c>
      <c r="I276" s="18">
        <f>22013.05</f>
        <v>22013.05</v>
      </c>
      <c r="J276" s="18">
        <f>18472.82</f>
        <v>18472.82</v>
      </c>
      <c r="K276" s="18"/>
      <c r="L276" s="19">
        <f>SUM(F276:K276)</f>
        <v>63958.76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101372.88+508416.9</f>
        <v>609789.78</v>
      </c>
      <c r="G277" s="18">
        <f>57568.32+185122.1</f>
        <v>242690.42</v>
      </c>
      <c r="H277" s="18">
        <f>1051.16+41546.49</f>
        <v>42597.65</v>
      </c>
      <c r="I277" s="18">
        <f>1386+8388.84</f>
        <v>9774.84</v>
      </c>
      <c r="J277" s="18">
        <f>4918.65+550</f>
        <v>5468.65</v>
      </c>
      <c r="K277" s="18">
        <f>194.81</f>
        <v>194.81</v>
      </c>
      <c r="L277" s="19">
        <f>SUM(F277:K277)</f>
        <v>910516.15000000014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110015.83</f>
        <v>110015.83</v>
      </c>
      <c r="G279" s="18">
        <f>27082.43</f>
        <v>27082.43</v>
      </c>
      <c r="H279" s="18">
        <f>20213.63</f>
        <v>20213.63</v>
      </c>
      <c r="I279" s="18">
        <f>943.93</f>
        <v>943.93</v>
      </c>
      <c r="J279" s="18"/>
      <c r="K279" s="18"/>
      <c r="L279" s="19">
        <f>SUM(F279:K279)</f>
        <v>158255.82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6078.83+2712.37+8800</f>
        <v>17591.2</v>
      </c>
      <c r="G281" s="18">
        <f>3482.92+516.15+2087.55</f>
        <v>6086.6200000000008</v>
      </c>
      <c r="H281" s="18">
        <f>115313.93+49241.11+1722.09</f>
        <v>166277.12999999998</v>
      </c>
      <c r="I281" s="18">
        <f>212.01</f>
        <v>212.01</v>
      </c>
      <c r="J281" s="18">
        <f>2854.03</f>
        <v>2854.03</v>
      </c>
      <c r="K281" s="18"/>
      <c r="L281" s="19">
        <f t="shared" ref="L281:L287" si="12">SUM(F281:K281)</f>
        <v>193020.99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>
        <f>1200</f>
        <v>1200</v>
      </c>
      <c r="H282" s="18">
        <f>4381.44+5025.83+27219.95</f>
        <v>36627.22</v>
      </c>
      <c r="I282" s="18"/>
      <c r="J282" s="18"/>
      <c r="K282" s="18"/>
      <c r="L282" s="19">
        <f t="shared" si="12"/>
        <v>37827.22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34116.65</f>
        <v>34116.65</v>
      </c>
      <c r="G283" s="18">
        <f>15874.9</f>
        <v>15874.9</v>
      </c>
      <c r="H283" s="18">
        <f>13610.88</f>
        <v>13610.88</v>
      </c>
      <c r="I283" s="18">
        <f>5376.68</f>
        <v>5376.68</v>
      </c>
      <c r="J283" s="18"/>
      <c r="K283" s="18"/>
      <c r="L283" s="19">
        <f t="shared" si="12"/>
        <v>68979.11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1736.75</f>
        <v>1736.75</v>
      </c>
      <c r="I287" s="18"/>
      <c r="J287" s="18"/>
      <c r="K287" s="18"/>
      <c r="L287" s="19">
        <f t="shared" si="12"/>
        <v>1736.75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f>349.59</f>
        <v>349.59</v>
      </c>
      <c r="I288" s="18"/>
      <c r="J288" s="18"/>
      <c r="K288" s="18"/>
      <c r="L288" s="19">
        <f>SUM(F288:K288)</f>
        <v>349.59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782974.58</v>
      </c>
      <c r="G290" s="42">
        <f t="shared" si="13"/>
        <v>294464.89</v>
      </c>
      <c r="H290" s="42">
        <f t="shared" si="13"/>
        <v>291894.10000000003</v>
      </c>
      <c r="I290" s="42">
        <f t="shared" si="13"/>
        <v>38320.51</v>
      </c>
      <c r="J290" s="42">
        <f t="shared" si="13"/>
        <v>26795.5</v>
      </c>
      <c r="K290" s="42">
        <f t="shared" si="13"/>
        <v>194.81</v>
      </c>
      <c r="L290" s="41">
        <f t="shared" si="13"/>
        <v>1434644.3900000004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2800</f>
        <v>2800</v>
      </c>
      <c r="G295" s="18">
        <f>700.28</f>
        <v>700.28</v>
      </c>
      <c r="H295" s="18"/>
      <c r="I295" s="18">
        <f>1804.12</f>
        <v>1804.12</v>
      </c>
      <c r="J295" s="18">
        <f>495</f>
        <v>495</v>
      </c>
      <c r="K295" s="18"/>
      <c r="L295" s="19">
        <f>SUM(F295:K295)</f>
        <v>5799.4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59902.16</f>
        <v>59902.16</v>
      </c>
      <c r="G296" s="18">
        <f>34017.64</f>
        <v>34017.64</v>
      </c>
      <c r="H296" s="18">
        <f>621.14</f>
        <v>621.14</v>
      </c>
      <c r="I296" s="18">
        <f>819</f>
        <v>819</v>
      </c>
      <c r="J296" s="18">
        <f>2906.47</f>
        <v>2906.47</v>
      </c>
      <c r="K296" s="18"/>
      <c r="L296" s="19">
        <f>SUM(F296:K296)</f>
        <v>98266.41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f>671</f>
        <v>671</v>
      </c>
      <c r="G297" s="18">
        <f>167.82</f>
        <v>167.82</v>
      </c>
      <c r="H297" s="18"/>
      <c r="I297" s="18">
        <f>182.84</f>
        <v>182.84</v>
      </c>
      <c r="J297" s="18">
        <f>1228.34</f>
        <v>1228.3399999999999</v>
      </c>
      <c r="K297" s="18"/>
      <c r="L297" s="19">
        <f>SUM(F297:K297)</f>
        <v>2250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29244.72</f>
        <v>29244.720000000001</v>
      </c>
      <c r="G298" s="18">
        <f>7199.13</f>
        <v>7199.13</v>
      </c>
      <c r="H298" s="18">
        <f>5373.24</f>
        <v>5373.24</v>
      </c>
      <c r="I298" s="18">
        <f>250.92</f>
        <v>250.92</v>
      </c>
      <c r="J298" s="18"/>
      <c r="K298" s="18"/>
      <c r="L298" s="19">
        <f>SUM(F298:K298)</f>
        <v>42068.009999999995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3473.62+1435.96+5217.16</f>
        <v>10126.74</v>
      </c>
      <c r="G300" s="18">
        <f>1990.24+273.26+963.76</f>
        <v>3227.26</v>
      </c>
      <c r="H300" s="18">
        <f>65893.68+28137.78+1722.08</f>
        <v>95753.54</v>
      </c>
      <c r="I300" s="18">
        <f>121.14+453.74</f>
        <v>574.88</v>
      </c>
      <c r="J300" s="18">
        <f>1630.88</f>
        <v>1630.88</v>
      </c>
      <c r="K300" s="18"/>
      <c r="L300" s="19">
        <f t="shared" ref="L300:L306" si="14">SUM(F300:K300)</f>
        <v>111313.3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>
        <f>2503.68+2871.9+10256.4</f>
        <v>15631.98</v>
      </c>
      <c r="I301" s="18"/>
      <c r="J301" s="18"/>
      <c r="K301" s="18"/>
      <c r="L301" s="19">
        <f t="shared" si="14"/>
        <v>15631.98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f>19495.22</f>
        <v>19495.22</v>
      </c>
      <c r="G302" s="18">
        <f>9071.38</f>
        <v>9071.3799999999992</v>
      </c>
      <c r="H302" s="18">
        <f>7777.65</f>
        <v>7777.65</v>
      </c>
      <c r="I302" s="18">
        <f>3072.39</f>
        <v>3072.39</v>
      </c>
      <c r="J302" s="18"/>
      <c r="K302" s="18"/>
      <c r="L302" s="19">
        <f t="shared" si="14"/>
        <v>39416.639999999999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f>461.67</f>
        <v>461.67</v>
      </c>
      <c r="I306" s="18"/>
      <c r="J306" s="18"/>
      <c r="K306" s="18"/>
      <c r="L306" s="19">
        <f t="shared" si="14"/>
        <v>461.67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>
        <f>92.93</f>
        <v>92.93</v>
      </c>
      <c r="I307" s="18"/>
      <c r="J307" s="18"/>
      <c r="K307" s="18"/>
      <c r="L307" s="19">
        <f>SUM(F307:K307)</f>
        <v>92.93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122239.84000000001</v>
      </c>
      <c r="G309" s="42">
        <f t="shared" si="15"/>
        <v>54383.509999999995</v>
      </c>
      <c r="H309" s="42">
        <f t="shared" si="15"/>
        <v>125712.14999999998</v>
      </c>
      <c r="I309" s="42">
        <f t="shared" si="15"/>
        <v>6704.15</v>
      </c>
      <c r="J309" s="42">
        <f t="shared" si="15"/>
        <v>6260.69</v>
      </c>
      <c r="K309" s="42">
        <f t="shared" si="15"/>
        <v>0</v>
      </c>
      <c r="L309" s="41">
        <f t="shared" si="15"/>
        <v>315300.33999999997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3400</f>
        <v>3400</v>
      </c>
      <c r="G314" s="18">
        <f>850.34</f>
        <v>850.34</v>
      </c>
      <c r="H314" s="18"/>
      <c r="I314" s="18">
        <f>2948.83</f>
        <v>2948.83</v>
      </c>
      <c r="J314" s="18"/>
      <c r="K314" s="18"/>
      <c r="L314" s="19">
        <f>SUM(F314:K314)</f>
        <v>7199.17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69117.88</f>
        <v>69117.88</v>
      </c>
      <c r="G315" s="18">
        <f>39251.13</f>
        <v>39251.129999999997</v>
      </c>
      <c r="H315" s="18">
        <f>716.7+60000</f>
        <v>60716.7</v>
      </c>
      <c r="I315" s="18">
        <f>945</f>
        <v>945</v>
      </c>
      <c r="J315" s="18">
        <f>3353.62</f>
        <v>3353.62</v>
      </c>
      <c r="K315" s="18"/>
      <c r="L315" s="19">
        <f>SUM(F315:K315)</f>
        <v>173384.33000000002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f>671</f>
        <v>671</v>
      </c>
      <c r="G316" s="18">
        <f>167.82</f>
        <v>167.82</v>
      </c>
      <c r="H316" s="18">
        <f>1643.29</f>
        <v>1643.29</v>
      </c>
      <c r="I316" s="18">
        <f>2074+2873.35</f>
        <v>4947.3500000000004</v>
      </c>
      <c r="J316" s="18">
        <f>53785+16803.69</f>
        <v>70588.69</v>
      </c>
      <c r="K316" s="18">
        <f>1974.93</f>
        <v>1974.93</v>
      </c>
      <c r="L316" s="19">
        <f>SUM(F316:K316)</f>
        <v>79993.08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4920.96+1170.04+27687.01</f>
        <v>33778.009999999995</v>
      </c>
      <c r="G319" s="18">
        <f>2819.51+222.65+2118.06</f>
        <v>5160.22</v>
      </c>
      <c r="H319" s="18">
        <f>93349.37+39861.85+3725</f>
        <v>136936.22</v>
      </c>
      <c r="I319" s="18">
        <f>171.62+600</f>
        <v>771.62</v>
      </c>
      <c r="J319" s="18">
        <f>2310.41</f>
        <v>2310.41</v>
      </c>
      <c r="K319" s="18"/>
      <c r="L319" s="19">
        <f t="shared" ref="L319:L325" si="16">SUM(F319:K319)</f>
        <v>178956.48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f>3546.88+4068.53+11200</f>
        <v>18815.41</v>
      </c>
      <c r="I320" s="18"/>
      <c r="J320" s="18"/>
      <c r="K320" s="18"/>
      <c r="L320" s="19">
        <f t="shared" si="16"/>
        <v>18815.41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27618.23</f>
        <v>27618.23</v>
      </c>
      <c r="G321" s="18">
        <f>12851.12</f>
        <v>12851.12</v>
      </c>
      <c r="H321" s="18">
        <f>11018.33</f>
        <v>11018.33</v>
      </c>
      <c r="I321" s="18">
        <f>4352.55</f>
        <v>4352.55</v>
      </c>
      <c r="J321" s="18"/>
      <c r="K321" s="18"/>
      <c r="L321" s="19">
        <f t="shared" si="16"/>
        <v>55840.23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>
        <v>55644</v>
      </c>
      <c r="I324" s="18"/>
      <c r="J324" s="18"/>
      <c r="K324" s="18"/>
      <c r="L324" s="19">
        <f t="shared" si="16"/>
        <v>55644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134585.12</v>
      </c>
      <c r="G328" s="42">
        <f t="shared" si="17"/>
        <v>58280.63</v>
      </c>
      <c r="H328" s="42">
        <f t="shared" si="17"/>
        <v>284773.94999999995</v>
      </c>
      <c r="I328" s="42">
        <f t="shared" si="17"/>
        <v>13965.350000000002</v>
      </c>
      <c r="J328" s="42">
        <f t="shared" si="17"/>
        <v>76252.72</v>
      </c>
      <c r="K328" s="42">
        <f t="shared" si="17"/>
        <v>1974.93</v>
      </c>
      <c r="L328" s="41">
        <f t="shared" si="17"/>
        <v>569832.69999999995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>
        <f>16000</f>
        <v>16000</v>
      </c>
      <c r="I333" s="18">
        <f>2700.24</f>
        <v>2700.24</v>
      </c>
      <c r="J333" s="18"/>
      <c r="K333" s="18">
        <v>710</v>
      </c>
      <c r="L333" s="19">
        <f t="shared" si="18"/>
        <v>19410.239999999998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f>5227.47</f>
        <v>5227.47</v>
      </c>
      <c r="G335" s="18">
        <f>2607.75</f>
        <v>2607.75</v>
      </c>
      <c r="H335" s="18">
        <f>12268</f>
        <v>12268</v>
      </c>
      <c r="I335" s="18">
        <f>587.53</f>
        <v>587.53</v>
      </c>
      <c r="J335" s="18"/>
      <c r="K335" s="18"/>
      <c r="L335" s="19">
        <f t="shared" si="18"/>
        <v>20690.75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5227.47</v>
      </c>
      <c r="G337" s="41">
        <f t="shared" si="19"/>
        <v>2607.75</v>
      </c>
      <c r="H337" s="41">
        <f t="shared" si="19"/>
        <v>28268</v>
      </c>
      <c r="I337" s="41">
        <f t="shared" si="19"/>
        <v>3287.7699999999995</v>
      </c>
      <c r="J337" s="41">
        <f t="shared" si="19"/>
        <v>0</v>
      </c>
      <c r="K337" s="41">
        <f t="shared" si="19"/>
        <v>710</v>
      </c>
      <c r="L337" s="41">
        <f t="shared" si="18"/>
        <v>40100.99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1045027.0099999999</v>
      </c>
      <c r="G338" s="41">
        <f t="shared" si="20"/>
        <v>409736.78</v>
      </c>
      <c r="H338" s="41">
        <f t="shared" si="20"/>
        <v>730648.2</v>
      </c>
      <c r="I338" s="41">
        <f t="shared" si="20"/>
        <v>62277.780000000006</v>
      </c>
      <c r="J338" s="41">
        <f t="shared" si="20"/>
        <v>109308.91</v>
      </c>
      <c r="K338" s="41">
        <f t="shared" si="20"/>
        <v>2879.7400000000002</v>
      </c>
      <c r="L338" s="41">
        <f t="shared" si="20"/>
        <v>2359878.4200000009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f>143964.77</f>
        <v>143964.76999999999</v>
      </c>
      <c r="L350" s="19">
        <f t="shared" si="21"/>
        <v>143964.76999999999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143964.76999999999</v>
      </c>
      <c r="L351" s="41">
        <f>SUM(L341:L350)</f>
        <v>143964.76999999999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1045027.0099999999</v>
      </c>
      <c r="G352" s="41">
        <f>G338</f>
        <v>409736.78</v>
      </c>
      <c r="H352" s="41">
        <f>H338</f>
        <v>730648.2</v>
      </c>
      <c r="I352" s="41">
        <f>I338</f>
        <v>62277.780000000006</v>
      </c>
      <c r="J352" s="41">
        <f>J338</f>
        <v>109308.91</v>
      </c>
      <c r="K352" s="47">
        <f>K338+K351</f>
        <v>146844.50999999998</v>
      </c>
      <c r="L352" s="41">
        <f>L338+L351</f>
        <v>2503843.1900000009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111677.4+4838.85</f>
        <v>116516.25</v>
      </c>
      <c r="G358" s="18">
        <f>21214.31+370.01</f>
        <v>21584.32</v>
      </c>
      <c r="H358" s="18">
        <f>4413.82+173.12</f>
        <v>4586.9399999999996</v>
      </c>
      <c r="I358" s="18">
        <f>109815.32</f>
        <v>109815.32</v>
      </c>
      <c r="J358" s="18">
        <f>61.58</f>
        <v>61.58</v>
      </c>
      <c r="K358" s="18">
        <f>762.28</f>
        <v>762.28</v>
      </c>
      <c r="L358" s="13">
        <f>SUM(F358:K358)</f>
        <v>253326.69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65861.03</f>
        <v>65861.03</v>
      </c>
      <c r="G359" s="18">
        <f>12511</f>
        <v>12511</v>
      </c>
      <c r="H359" s="18">
        <f>2507.85+102.1</f>
        <v>2609.9499999999998</v>
      </c>
      <c r="I359" s="18">
        <f>62395.07</f>
        <v>62395.07</v>
      </c>
      <c r="J359" s="18">
        <f>34.99</f>
        <v>34.99</v>
      </c>
      <c r="K359" s="18">
        <f>433.11</f>
        <v>433.11</v>
      </c>
      <c r="L359" s="19">
        <f>SUM(F359:K359)</f>
        <v>143845.14999999997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108813.88</f>
        <v>108813.88</v>
      </c>
      <c r="G360" s="18">
        <f>20670.35</f>
        <v>20670.349999999999</v>
      </c>
      <c r="H360" s="18">
        <f>3109.74+168.69</f>
        <v>3278.43</v>
      </c>
      <c r="I360" s="18">
        <f>77369.89</f>
        <v>77369.89</v>
      </c>
      <c r="J360" s="18">
        <f>43.38</f>
        <v>43.38</v>
      </c>
      <c r="K360" s="18">
        <f>537.06</f>
        <v>537.05999999999995</v>
      </c>
      <c r="L360" s="19">
        <f>SUM(F360:K360)</f>
        <v>210712.99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291191.16000000003</v>
      </c>
      <c r="G362" s="47">
        <f t="shared" si="22"/>
        <v>54765.67</v>
      </c>
      <c r="H362" s="47">
        <f t="shared" si="22"/>
        <v>10475.32</v>
      </c>
      <c r="I362" s="47">
        <f t="shared" si="22"/>
        <v>249580.28000000003</v>
      </c>
      <c r="J362" s="47">
        <f t="shared" si="22"/>
        <v>139.94999999999999</v>
      </c>
      <c r="K362" s="47">
        <f t="shared" si="22"/>
        <v>1732.4499999999998</v>
      </c>
      <c r="L362" s="47">
        <f t="shared" si="22"/>
        <v>607884.82999999996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101011.3</f>
        <v>101011.3</v>
      </c>
      <c r="G367" s="18">
        <f>57392.79</f>
        <v>57392.79</v>
      </c>
      <c r="H367" s="18">
        <f>71167.05</f>
        <v>71167.05</v>
      </c>
      <c r="I367" s="56">
        <f>SUM(F367:H367)</f>
        <v>229571.14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8804.02</f>
        <v>8804.02</v>
      </c>
      <c r="G368" s="63">
        <f>5002.28</f>
        <v>5002.28</v>
      </c>
      <c r="H368" s="63">
        <f>6202.84</f>
        <v>6202.84</v>
      </c>
      <c r="I368" s="56">
        <f>SUM(F368:H368)</f>
        <v>20009.14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109815.32</v>
      </c>
      <c r="G369" s="47">
        <f>SUM(G367:G368)</f>
        <v>62395.07</v>
      </c>
      <c r="H369" s="47">
        <f>SUM(H367:H368)</f>
        <v>77369.89</v>
      </c>
      <c r="I369" s="47">
        <f>SUM(I367:I368)</f>
        <v>249580.28000000003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/>
      <c r="G465" s="18">
        <v>13526.71</v>
      </c>
      <c r="H465" s="18">
        <v>23215.94</v>
      </c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17891023.899999999</v>
      </c>
      <c r="G468" s="18">
        <v>611930.89999999991</v>
      </c>
      <c r="H468" s="18">
        <v>2551615.2900000005</v>
      </c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17891023.899999999</v>
      </c>
      <c r="G470" s="53">
        <f>SUM(G468:G469)</f>
        <v>611930.89999999991</v>
      </c>
      <c r="H470" s="53">
        <f>SUM(H468:H469)</f>
        <v>2551615.2900000005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17891023.899999999</v>
      </c>
      <c r="G472" s="18">
        <v>607884.82999999996</v>
      </c>
      <c r="H472" s="18">
        <v>2503843.1900000009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>
        <v>443.91</v>
      </c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17891023.899999999</v>
      </c>
      <c r="G474" s="53">
        <f>SUM(G472:G473)</f>
        <v>607884.82999999996</v>
      </c>
      <c r="H474" s="53">
        <f>SUM(H472:H473)</f>
        <v>2504287.100000001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17572.779999999912</v>
      </c>
      <c r="H476" s="53">
        <f>(H465+H470)- H474</f>
        <v>70544.129999999423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 t="s">
        <v>916</v>
      </c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29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357204.63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2.85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212661.33</v>
      </c>
      <c r="G495" s="18"/>
      <c r="H495" s="18"/>
      <c r="I495" s="18"/>
      <c r="J495" s="18"/>
      <c r="K495" s="53">
        <f>SUM(F495:J495)</f>
        <v>212661.33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18924</v>
      </c>
      <c r="G497" s="18"/>
      <c r="H497" s="18"/>
      <c r="I497" s="18"/>
      <c r="J497" s="18"/>
      <c r="K497" s="53">
        <f t="shared" si="35"/>
        <v>18924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193737.33</v>
      </c>
      <c r="G498" s="204"/>
      <c r="H498" s="204"/>
      <c r="I498" s="204"/>
      <c r="J498" s="204"/>
      <c r="K498" s="205">
        <f t="shared" si="35"/>
        <v>193737.33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39319.42</v>
      </c>
      <c r="G499" s="18"/>
      <c r="H499" s="18"/>
      <c r="I499" s="18"/>
      <c r="J499" s="18"/>
      <c r="K499" s="53">
        <f t="shared" si="35"/>
        <v>39319.42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233056.75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233056.75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173817.33</v>
      </c>
      <c r="G501" s="204"/>
      <c r="H501" s="204"/>
      <c r="I501" s="204"/>
      <c r="J501" s="204"/>
      <c r="K501" s="205">
        <f t="shared" si="35"/>
        <v>173817.33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30204.7</v>
      </c>
      <c r="G502" s="18"/>
      <c r="H502" s="18"/>
      <c r="I502" s="18"/>
      <c r="J502" s="18"/>
      <c r="K502" s="53">
        <f t="shared" si="35"/>
        <v>30204.7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204022.03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204022.03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10513.87+10288.96+700785.01+56506.84+101372.88</f>
        <v>879467.55999999994</v>
      </c>
      <c r="G521" s="18">
        <f>787.18+1875.87+246286.89+34647.25+57568.32</f>
        <v>341165.51</v>
      </c>
      <c r="H521" s="18">
        <f>69080.63+133145.04+6724.28+1051.16</f>
        <v>210001.11000000002</v>
      </c>
      <c r="I521" s="18">
        <f>345.96+2935.5+183.54+1386</f>
        <v>4851</v>
      </c>
      <c r="J521" s="18">
        <f>4918.65+1409</f>
        <v>6327.65</v>
      </c>
      <c r="K521" s="18"/>
      <c r="L521" s="88">
        <f>SUM(F521:K521)</f>
        <v>1441812.8299999998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3650.65+6079.84+435485.11+59902.16</f>
        <v>505117.76</v>
      </c>
      <c r="G522" s="18">
        <f>465.15+651.35+179878.94+34017.64</f>
        <v>215013.08000000002</v>
      </c>
      <c r="H522" s="18">
        <f>40820.37+166506.7+621.14</f>
        <v>207948.21000000002</v>
      </c>
      <c r="I522" s="18">
        <f>120.13+1746.24+819</f>
        <v>2685.37</v>
      </c>
      <c r="J522" s="18">
        <f>2906.47</f>
        <v>2906.47</v>
      </c>
      <c r="K522" s="18"/>
      <c r="L522" s="88">
        <f>SUM(F522:K522)</f>
        <v>933670.89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438.08+7015.2+395041.33+69117.88</f>
        <v>471612.49000000005</v>
      </c>
      <c r="G523" s="18">
        <f>536.72+78.16+115380.8+39251.13</f>
        <v>155246.81</v>
      </c>
      <c r="H523" s="18">
        <f>47100.43+384197.44+716.7</f>
        <v>432014.57</v>
      </c>
      <c r="I523" s="18">
        <f>14.42+786.68+945</f>
        <v>1746.1</v>
      </c>
      <c r="J523" s="18">
        <f>3353.62</f>
        <v>3353.62</v>
      </c>
      <c r="K523" s="18"/>
      <c r="L523" s="88">
        <f>SUM(F523:K523)</f>
        <v>1063973.5900000003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1856197.8099999998</v>
      </c>
      <c r="G524" s="108">
        <f t="shared" ref="G524:L524" si="36">SUM(G521:G523)</f>
        <v>711425.40000000014</v>
      </c>
      <c r="H524" s="108">
        <f t="shared" si="36"/>
        <v>849963.89000000013</v>
      </c>
      <c r="I524" s="108">
        <f t="shared" si="36"/>
        <v>9282.4699999999993</v>
      </c>
      <c r="J524" s="108">
        <f t="shared" si="36"/>
        <v>12587.739999999998</v>
      </c>
      <c r="K524" s="108">
        <f t="shared" si="36"/>
        <v>0</v>
      </c>
      <c r="L524" s="89">
        <f t="shared" si="36"/>
        <v>3439457.31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101721.63+108892.96+2712.37+8800</f>
        <v>222126.96000000002</v>
      </c>
      <c r="G526" s="18">
        <f>54209.62+45405.19+516.15+2087.55</f>
        <v>102218.51</v>
      </c>
      <c r="H526" s="18">
        <f>8194.08+211234.4+10417.11+17689.51+1722.09</f>
        <v>249257.18999999997</v>
      </c>
      <c r="I526" s="18">
        <f>2412.37+1140.28</f>
        <v>3552.6499999999996</v>
      </c>
      <c r="J526" s="18">
        <f>3349.09</f>
        <v>3349.09</v>
      </c>
      <c r="K526" s="18"/>
      <c r="L526" s="88">
        <f>SUM(F526:K526)</f>
        <v>580504.4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48977.08+57649.21+1435.96</f>
        <v>108062.25000000001</v>
      </c>
      <c r="G527" s="18">
        <f>26100.93+24038.05+273.26</f>
        <v>50412.24</v>
      </c>
      <c r="H527" s="18">
        <f>4338.04+19455.8+434.05+17689.5+1722.08</f>
        <v>43639.47</v>
      </c>
      <c r="I527" s="18">
        <f>1161.51+603.68</f>
        <v>1765.19</v>
      </c>
      <c r="J527" s="18"/>
      <c r="K527" s="18"/>
      <c r="L527" s="88">
        <f>SUM(F527:K527)</f>
        <v>203879.15000000002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37674.68+46973.43+25494+1170.04</f>
        <v>111312.15</v>
      </c>
      <c r="G528" s="18">
        <f>20077.64+19586.56+15975.4+222.65</f>
        <v>55862.25</v>
      </c>
      <c r="H528" s="18">
        <f>3534.7+47249.8</f>
        <v>50784.5</v>
      </c>
      <c r="I528" s="18">
        <f>893.47+491.88</f>
        <v>1385.35</v>
      </c>
      <c r="J528" s="18"/>
      <c r="K528" s="18"/>
      <c r="L528" s="88">
        <f>SUM(F528:K528)</f>
        <v>219344.25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441501.36</v>
      </c>
      <c r="G529" s="89">
        <f t="shared" ref="G529:L529" si="37">SUM(G526:G528)</f>
        <v>208493</v>
      </c>
      <c r="H529" s="89">
        <f t="shared" si="37"/>
        <v>343681.16</v>
      </c>
      <c r="I529" s="89">
        <f t="shared" si="37"/>
        <v>6703.1900000000005</v>
      </c>
      <c r="J529" s="89">
        <f t="shared" si="37"/>
        <v>3349.09</v>
      </c>
      <c r="K529" s="89">
        <f t="shared" si="37"/>
        <v>0</v>
      </c>
      <c r="L529" s="89">
        <f t="shared" si="37"/>
        <v>1003727.8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49958.66</f>
        <v>49958.66</v>
      </c>
      <c r="G531" s="18">
        <f>12123.68</f>
        <v>12123.68</v>
      </c>
      <c r="H531" s="18">
        <f>3349.9</f>
        <v>3349.9</v>
      </c>
      <c r="I531" s="18">
        <f>2307.96</f>
        <v>2307.96</v>
      </c>
      <c r="J531" s="18">
        <f>285.53</f>
        <v>285.52999999999997</v>
      </c>
      <c r="K531" s="18">
        <f>114.58</f>
        <v>114.58</v>
      </c>
      <c r="L531" s="88">
        <f>SUM(F531:K531)</f>
        <v>68140.310000000012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29521.02</f>
        <v>29521.02</v>
      </c>
      <c r="G532" s="18">
        <f>7163.99</f>
        <v>7163.99</v>
      </c>
      <c r="H532" s="18">
        <f>1979.48</f>
        <v>1979.48</v>
      </c>
      <c r="I532" s="18">
        <f>801.37</f>
        <v>801.37</v>
      </c>
      <c r="J532" s="18">
        <f>168.73</f>
        <v>168.73</v>
      </c>
      <c r="K532" s="18">
        <f>67.71</f>
        <v>67.709999999999994</v>
      </c>
      <c r="L532" s="88">
        <f>SUM(F532:K532)</f>
        <v>39702.30000000001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34062.72</f>
        <v>34062.720000000001</v>
      </c>
      <c r="G533" s="18">
        <f>8266.14</f>
        <v>8266.14</v>
      </c>
      <c r="H533" s="18">
        <f>2284.02</f>
        <v>2284.02</v>
      </c>
      <c r="I533" s="18">
        <f>96.16</f>
        <v>96.16</v>
      </c>
      <c r="J533" s="18">
        <f>194.69</f>
        <v>194.69</v>
      </c>
      <c r="K533" s="18">
        <f>78.12</f>
        <v>78.12</v>
      </c>
      <c r="L533" s="88">
        <f>SUM(F533:K533)</f>
        <v>44981.850000000006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113542.40000000001</v>
      </c>
      <c r="G534" s="89">
        <f t="shared" ref="G534:L534" si="38">SUM(G531:G533)</f>
        <v>27553.809999999998</v>
      </c>
      <c r="H534" s="89">
        <f t="shared" si="38"/>
        <v>7613.4</v>
      </c>
      <c r="I534" s="89">
        <f t="shared" si="38"/>
        <v>3205.49</v>
      </c>
      <c r="J534" s="89">
        <f t="shared" si="38"/>
        <v>648.95000000000005</v>
      </c>
      <c r="K534" s="89">
        <f t="shared" si="38"/>
        <v>260.40999999999997</v>
      </c>
      <c r="L534" s="89">
        <f t="shared" si="38"/>
        <v>152824.46000000002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f>1062.67</f>
        <v>1062.67</v>
      </c>
      <c r="G541" s="18">
        <f>81.28</f>
        <v>81.28</v>
      </c>
      <c r="H541" s="18"/>
      <c r="I541" s="18"/>
      <c r="J541" s="18"/>
      <c r="K541" s="18"/>
      <c r="L541" s="88">
        <f>SUM(F541:K541)</f>
        <v>1143.95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f>368.99</f>
        <v>368.99</v>
      </c>
      <c r="G542" s="18">
        <f>28.23</f>
        <v>28.23</v>
      </c>
      <c r="H542" s="18"/>
      <c r="I542" s="18"/>
      <c r="J542" s="18"/>
      <c r="K542" s="18"/>
      <c r="L542" s="88">
        <f>SUM(F542:K542)</f>
        <v>397.22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f>44.28+23.89</f>
        <v>68.17</v>
      </c>
      <c r="G543" s="18">
        <f>3.39+1.81</f>
        <v>5.2</v>
      </c>
      <c r="H543" s="18"/>
      <c r="I543" s="18"/>
      <c r="J543" s="18"/>
      <c r="K543" s="18"/>
      <c r="L543" s="88">
        <f>SUM(F543:K543)</f>
        <v>73.37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1499.8300000000002</v>
      </c>
      <c r="G544" s="193">
        <f t="shared" ref="G544:L544" si="40">SUM(G541:G543)</f>
        <v>114.71000000000001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1614.54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2412741.4</v>
      </c>
      <c r="G545" s="89">
        <f t="shared" ref="G545:L545" si="41">G524+G529+G534+G539+G544</f>
        <v>947586.92000000016</v>
      </c>
      <c r="H545" s="89">
        <f t="shared" si="41"/>
        <v>1201258.45</v>
      </c>
      <c r="I545" s="89">
        <f t="shared" si="41"/>
        <v>19191.150000000001</v>
      </c>
      <c r="J545" s="89">
        <f t="shared" si="41"/>
        <v>16585.78</v>
      </c>
      <c r="K545" s="89">
        <f t="shared" si="41"/>
        <v>260.40999999999997</v>
      </c>
      <c r="L545" s="89">
        <f t="shared" si="41"/>
        <v>4597624.1100000003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1441812.8299999998</v>
      </c>
      <c r="G549" s="87">
        <f>L526</f>
        <v>580504.4</v>
      </c>
      <c r="H549" s="87">
        <f>L531</f>
        <v>68140.310000000012</v>
      </c>
      <c r="I549" s="87">
        <f>L536</f>
        <v>0</v>
      </c>
      <c r="J549" s="87">
        <f>L541</f>
        <v>1143.95</v>
      </c>
      <c r="K549" s="87">
        <f>SUM(F549:J549)</f>
        <v>2091601.49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933670.89</v>
      </c>
      <c r="G550" s="87">
        <f>L527</f>
        <v>203879.15000000002</v>
      </c>
      <c r="H550" s="87">
        <f>L532</f>
        <v>39702.30000000001</v>
      </c>
      <c r="I550" s="87">
        <f>L537</f>
        <v>0</v>
      </c>
      <c r="J550" s="87">
        <f>L542</f>
        <v>397.22</v>
      </c>
      <c r="K550" s="87">
        <f>SUM(F550:J550)</f>
        <v>1177649.56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1063973.5900000003</v>
      </c>
      <c r="G551" s="87">
        <f>L528</f>
        <v>219344.25</v>
      </c>
      <c r="H551" s="87">
        <f>L533</f>
        <v>44981.850000000006</v>
      </c>
      <c r="I551" s="87">
        <f>L538</f>
        <v>0</v>
      </c>
      <c r="J551" s="87">
        <f>L543</f>
        <v>73.37</v>
      </c>
      <c r="K551" s="87">
        <f>SUM(F551:J551)</f>
        <v>1328373.0600000005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3439457.31</v>
      </c>
      <c r="G552" s="89">
        <f t="shared" si="42"/>
        <v>1003727.8</v>
      </c>
      <c r="H552" s="89">
        <f t="shared" si="42"/>
        <v>152824.46000000002</v>
      </c>
      <c r="I552" s="89">
        <f t="shared" si="42"/>
        <v>0</v>
      </c>
      <c r="J552" s="89">
        <f t="shared" si="42"/>
        <v>1614.54</v>
      </c>
      <c r="K552" s="89">
        <f t="shared" si="42"/>
        <v>4597624.1100000003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f>508416.9</f>
        <v>508416.9</v>
      </c>
      <c r="G557" s="18">
        <f>185122.1</f>
        <v>185122.1</v>
      </c>
      <c r="H557" s="18">
        <f>41546.49</f>
        <v>41546.49</v>
      </c>
      <c r="I557" s="18">
        <f>8388.84</f>
        <v>8388.84</v>
      </c>
      <c r="J557" s="18">
        <f>550</f>
        <v>550</v>
      </c>
      <c r="K557" s="18">
        <f>194.81</f>
        <v>194.81</v>
      </c>
      <c r="L557" s="88">
        <f>SUM(F557:K557)</f>
        <v>744219.14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f>21372.82</f>
        <v>21372.82</v>
      </c>
      <c r="G558" s="18">
        <f>4113.36</f>
        <v>4113.3599999999997</v>
      </c>
      <c r="H558" s="18"/>
      <c r="I558" s="18"/>
      <c r="J558" s="18"/>
      <c r="K558" s="18"/>
      <c r="L558" s="88">
        <f>SUM(F558:K558)</f>
        <v>25486.18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>
        <f>18000+23836</f>
        <v>41836</v>
      </c>
      <c r="I559" s="18"/>
      <c r="J559" s="18"/>
      <c r="K559" s="18"/>
      <c r="L559" s="88">
        <f>SUM(F559:K559)</f>
        <v>41836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529789.72</v>
      </c>
      <c r="G560" s="108">
        <f t="shared" si="43"/>
        <v>189235.46</v>
      </c>
      <c r="H560" s="108">
        <f t="shared" si="43"/>
        <v>83382.489999999991</v>
      </c>
      <c r="I560" s="108">
        <f t="shared" si="43"/>
        <v>8388.84</v>
      </c>
      <c r="J560" s="108">
        <f t="shared" si="43"/>
        <v>550</v>
      </c>
      <c r="K560" s="108">
        <f t="shared" si="43"/>
        <v>194.81</v>
      </c>
      <c r="L560" s="89">
        <f t="shared" si="43"/>
        <v>811541.32000000007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529789.72</v>
      </c>
      <c r="G571" s="89">
        <f t="shared" ref="G571:L571" si="46">G560+G565+G570</f>
        <v>189235.46</v>
      </c>
      <c r="H571" s="89">
        <f t="shared" si="46"/>
        <v>83382.489999999991</v>
      </c>
      <c r="I571" s="89">
        <f t="shared" si="46"/>
        <v>8388.84</v>
      </c>
      <c r="J571" s="89">
        <f t="shared" si="46"/>
        <v>550</v>
      </c>
      <c r="K571" s="89">
        <f t="shared" si="46"/>
        <v>194.81</v>
      </c>
      <c r="L571" s="89">
        <f t="shared" si="46"/>
        <v>811541.32000000007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f>12171.33</f>
        <v>12171.33</v>
      </c>
      <c r="G578" s="18">
        <f>12171.33</f>
        <v>12171.33</v>
      </c>
      <c r="H578" s="18">
        <f>10800</f>
        <v>10800</v>
      </c>
      <c r="I578" s="87">
        <f t="shared" si="47"/>
        <v>35142.660000000003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19714.66</f>
        <v>19714.66</v>
      </c>
      <c r="G579" s="18"/>
      <c r="H579" s="18">
        <f>14012.17</f>
        <v>14012.17</v>
      </c>
      <c r="I579" s="87">
        <f t="shared" si="47"/>
        <v>33726.83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f>11918</f>
        <v>11918</v>
      </c>
      <c r="I581" s="87">
        <f t="shared" si="47"/>
        <v>11918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1842.5+111087.88+6724.28</f>
        <v>119654.66</v>
      </c>
      <c r="G582" s="18">
        <f>3685+162821.7</f>
        <v>166506.70000000001</v>
      </c>
      <c r="H582" s="18">
        <f>53167.29+305024.98</f>
        <v>358192.26999999996</v>
      </c>
      <c r="I582" s="87">
        <f t="shared" si="47"/>
        <v>644353.62999999989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197027.03+739.66-0.02</f>
        <v>197766.67</v>
      </c>
      <c r="I591" s="18">
        <f>71930.51+308.79+0.02</f>
        <v>72239.319999999992</v>
      </c>
      <c r="J591" s="18">
        <f>43783.79+292.85</f>
        <v>44076.639999999999</v>
      </c>
      <c r="K591" s="104">
        <f t="shared" ref="K591:K597" si="48">SUM(H591:J591)</f>
        <v>314082.63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1143.96</f>
        <v>1143.96</v>
      </c>
      <c r="I592" s="18">
        <f>397.21</f>
        <v>397.21</v>
      </c>
      <c r="J592" s="18">
        <f>47.67+25.7</f>
        <v>73.37</v>
      </c>
      <c r="K592" s="104">
        <f t="shared" si="48"/>
        <v>1614.54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f>1043.9</f>
        <v>1043.9000000000001</v>
      </c>
      <c r="I594" s="18">
        <f>4716.1</f>
        <v>4716.1000000000004</v>
      </c>
      <c r="J594" s="18">
        <f>17183.52</f>
        <v>17183.52</v>
      </c>
      <c r="K594" s="104">
        <f t="shared" si="48"/>
        <v>22943.52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1786.06</f>
        <v>1786.06</v>
      </c>
      <c r="I595" s="18">
        <f>2128.39</f>
        <v>2128.39</v>
      </c>
      <c r="J595" s="18">
        <f>2431.81</f>
        <v>2431.81</v>
      </c>
      <c r="K595" s="104">
        <f t="shared" si="48"/>
        <v>6346.26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f>3696.85</f>
        <v>3696.85</v>
      </c>
      <c r="I597" s="18">
        <f>982.71</f>
        <v>982.71</v>
      </c>
      <c r="J597" s="18"/>
      <c r="K597" s="104">
        <f t="shared" si="48"/>
        <v>4679.5599999999995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205437.44</v>
      </c>
      <c r="I598" s="108">
        <f>SUM(I591:I597)</f>
        <v>80463.73000000001</v>
      </c>
      <c r="J598" s="108">
        <f>SUM(J591:J597)</f>
        <v>63765.34</v>
      </c>
      <c r="K598" s="108">
        <f>SUM(K591:K597)</f>
        <v>349666.51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158553.61</f>
        <v>158553.60999999999</v>
      </c>
      <c r="I604" s="18">
        <f>106674.89</f>
        <v>106674.89</v>
      </c>
      <c r="J604" s="18">
        <v>184482.8</v>
      </c>
      <c r="K604" s="104">
        <f>SUM(H604:J604)</f>
        <v>449711.3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158553.60999999999</v>
      </c>
      <c r="I605" s="108">
        <f>SUM(I602:I604)</f>
        <v>106674.89</v>
      </c>
      <c r="J605" s="108">
        <f>SUM(J602:J604)</f>
        <v>184482.8</v>
      </c>
      <c r="K605" s="108">
        <f>SUM(K602:K604)</f>
        <v>449711.3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0</v>
      </c>
      <c r="H617" s="109">
        <f>SUM(F52)</f>
        <v>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17572.78</v>
      </c>
      <c r="H618" s="109">
        <f>SUM(G52)</f>
        <v>17572.78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70544.13</v>
      </c>
      <c r="H619" s="109">
        <f>SUM(H52)</f>
        <v>70544.13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17572.78</v>
      </c>
      <c r="H623" s="109">
        <f>G476</f>
        <v>17572.779999999912</v>
      </c>
      <c r="I623" s="121" t="s">
        <v>102</v>
      </c>
      <c r="J623" s="109">
        <f t="shared" si="50"/>
        <v>8.7311491370201111E-11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70544.13</v>
      </c>
      <c r="H624" s="109">
        <f>H476</f>
        <v>70544.129999999423</v>
      </c>
      <c r="I624" s="121" t="s">
        <v>103</v>
      </c>
      <c r="J624" s="109">
        <f t="shared" si="50"/>
        <v>5.8207660913467407E-10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17891023.899999999</v>
      </c>
      <c r="H627" s="104">
        <f>SUM(F468)</f>
        <v>17891023.899999999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611930.89999999991</v>
      </c>
      <c r="H628" s="104">
        <f>SUM(G468)</f>
        <v>611930.89999999991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2551615.2900000005</v>
      </c>
      <c r="H629" s="104">
        <f>SUM(H468)</f>
        <v>2551615.2900000005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17891023.899999999</v>
      </c>
      <c r="H632" s="104">
        <f>SUM(F472)</f>
        <v>17891023.899999999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2503843.1900000009</v>
      </c>
      <c r="H633" s="104">
        <f>SUM(H472)</f>
        <v>2503843.1900000009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249580.28000000003</v>
      </c>
      <c r="H634" s="104">
        <f>I369</f>
        <v>249580.28000000003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607884.82999999996</v>
      </c>
      <c r="H635" s="104">
        <f>SUM(G472)</f>
        <v>607884.82999999996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349666.51</v>
      </c>
      <c r="H647" s="104">
        <f>L208+L226+L244</f>
        <v>349666.51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449711.3</v>
      </c>
      <c r="H648" s="104">
        <f>(J257+J338)-(J255+J336)</f>
        <v>449711.30000000005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205437.44</v>
      </c>
      <c r="H649" s="104">
        <f>H598</f>
        <v>205437.44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80463.73000000001</v>
      </c>
      <c r="H650" s="104">
        <f>I598</f>
        <v>80463.73000000001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63765.34</v>
      </c>
      <c r="H651" s="104">
        <f>J598</f>
        <v>63765.34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8328448.5900000008</v>
      </c>
      <c r="G660" s="19">
        <f>(L229+L309+L359)</f>
        <v>4641809.34</v>
      </c>
      <c r="H660" s="19">
        <f>(L247+L328+L360)</f>
        <v>7848428.2300000004</v>
      </c>
      <c r="I660" s="19">
        <f>SUM(F660:H660)</f>
        <v>20818686.16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79878.969975654109</v>
      </c>
      <c r="G661" s="19">
        <f>(L359/IF(SUM(L358:L360)=0,1,SUM(L358:L360))*(SUM(G97:G110)))</f>
        <v>45357.251610532861</v>
      </c>
      <c r="H661" s="19">
        <f>(L360/IF(SUM(L358:L360)=0,1,SUM(L358:L360))*(SUM(G97:G110)))</f>
        <v>66442.018413813028</v>
      </c>
      <c r="I661" s="19">
        <f>SUM(F661:H661)</f>
        <v>191678.24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182607.34</v>
      </c>
      <c r="G662" s="19">
        <f>(L226+L306)-(J226+J306)</f>
        <v>71956.55</v>
      </c>
      <c r="H662" s="19">
        <f>(L244+L325)-(J244+J325)</f>
        <v>58306.039999999994</v>
      </c>
      <c r="I662" s="19">
        <f>SUM(F662:H662)</f>
        <v>312869.93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310094.26</v>
      </c>
      <c r="G663" s="199">
        <f>SUM(G575:G587)+SUM(I602:I604)+L612</f>
        <v>285352.92</v>
      </c>
      <c r="H663" s="199">
        <f>SUM(H575:H587)+SUM(J602:J604)+L613</f>
        <v>579405.24</v>
      </c>
      <c r="I663" s="19">
        <f>SUM(F663:H663)</f>
        <v>1174852.42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7755868.0200243462</v>
      </c>
      <c r="G664" s="19">
        <f>G660-SUM(G661:G663)</f>
        <v>4239142.6183894668</v>
      </c>
      <c r="H664" s="19">
        <f>H660-SUM(H661:H663)</f>
        <v>7144274.9315861873</v>
      </c>
      <c r="I664" s="19">
        <f>I660-SUM(I661:I663)</f>
        <v>19139285.57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477.18</v>
      </c>
      <c r="G665" s="248">
        <v>278.83</v>
      </c>
      <c r="H665" s="248">
        <v>385.96</v>
      </c>
      <c r="I665" s="19">
        <f>SUM(F665:H665)</f>
        <v>1141.97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16253.55</v>
      </c>
      <c r="G667" s="19">
        <f>ROUND(G664/G665,2)</f>
        <v>15203.32</v>
      </c>
      <c r="H667" s="19">
        <f>ROUND(H664/H665,2)</f>
        <v>18510.400000000001</v>
      </c>
      <c r="I667" s="19">
        <f>ROUND(I664/I665,2)</f>
        <v>16759.88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5.5</v>
      </c>
      <c r="I670" s="19">
        <f>SUM(F670:H670)</f>
        <v>5.5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16253.55</v>
      </c>
      <c r="G672" s="19">
        <f>ROUND((G664+G669)/(G665+G670),2)</f>
        <v>15203.32</v>
      </c>
      <c r="H672" s="19">
        <f>ROUND((H664+H669)/(H665+H670),2)</f>
        <v>18250.330000000002</v>
      </c>
      <c r="I672" s="19">
        <f>ROUND((I664+I669)/(I665+I670),2)</f>
        <v>16679.55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Berlin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4684589.93</v>
      </c>
      <c r="C9" s="229">
        <f>'DOE25'!G197+'DOE25'!G215+'DOE25'!G233+'DOE25'!G276+'DOE25'!G295+'DOE25'!G314</f>
        <v>2336402.92</v>
      </c>
    </row>
    <row r="10" spans="1:3" x14ac:dyDescent="0.2">
      <c r="A10" t="s">
        <v>773</v>
      </c>
      <c r="B10" s="240">
        <f>4459856.17</f>
        <v>4459856.17</v>
      </c>
      <c r="C10" s="240">
        <f>2333974.76+0.01</f>
        <v>2333974.7699999996</v>
      </c>
    </row>
    <row r="11" spans="1:3" x14ac:dyDescent="0.2">
      <c r="A11" t="s">
        <v>774</v>
      </c>
      <c r="B11" s="240">
        <f>131411.22</f>
        <v>131411.22</v>
      </c>
      <c r="C11" s="240">
        <f>1419.84</f>
        <v>1419.84</v>
      </c>
    </row>
    <row r="12" spans="1:3" x14ac:dyDescent="0.2">
      <c r="A12" t="s">
        <v>775</v>
      </c>
      <c r="B12" s="240">
        <f>93322.54</f>
        <v>93322.54</v>
      </c>
      <c r="C12" s="240">
        <f>1008.31</f>
        <v>1008.31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4684589.93</v>
      </c>
      <c r="C13" s="231">
        <f>SUM(C10:C12)</f>
        <v>2336402.9199999995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2413481.5300000003</v>
      </c>
      <c r="C18" s="229">
        <f>'DOE25'!G198+'DOE25'!G216+'DOE25'!G234+'DOE25'!G277+'DOE25'!G296+'DOE25'!G315</f>
        <v>929515.12000000011</v>
      </c>
    </row>
    <row r="19" spans="1:3" x14ac:dyDescent="0.2">
      <c r="A19" t="s">
        <v>773</v>
      </c>
      <c r="B19" s="240">
        <f>1255965.1+25494</f>
        <v>1281459.1000000001</v>
      </c>
      <c r="C19" s="240">
        <f>817839.31+15975.4</f>
        <v>833814.71000000008</v>
      </c>
    </row>
    <row r="20" spans="1:3" x14ac:dyDescent="0.2">
      <c r="A20" t="s">
        <v>774</v>
      </c>
      <c r="B20" s="240">
        <f>1108638.43</f>
        <v>1108638.43</v>
      </c>
      <c r="C20" s="240">
        <f>91973.16</f>
        <v>91973.16</v>
      </c>
    </row>
    <row r="21" spans="1:3" x14ac:dyDescent="0.2">
      <c r="A21" t="s">
        <v>775</v>
      </c>
      <c r="B21" s="240">
        <f>23384</f>
        <v>23384</v>
      </c>
      <c r="C21" s="240">
        <f>3727.25</f>
        <v>3727.25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2413481.5300000003</v>
      </c>
      <c r="C22" s="231">
        <f>SUM(C19:C21)</f>
        <v>929515.12000000011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470227.54</v>
      </c>
      <c r="C27" s="234">
        <f>'DOE25'!G199+'DOE25'!G217+'DOE25'!G235+'DOE25'!G278+'DOE25'!G297+'DOE25'!G316</f>
        <v>245240.53000000003</v>
      </c>
    </row>
    <row r="28" spans="1:3" x14ac:dyDescent="0.2">
      <c r="A28" t="s">
        <v>773</v>
      </c>
      <c r="B28" s="240">
        <f>458000</f>
        <v>458000</v>
      </c>
      <c r="C28" s="240">
        <f>244210.55</f>
        <v>244210.55</v>
      </c>
    </row>
    <row r="29" spans="1:3" x14ac:dyDescent="0.2">
      <c r="A29" t="s">
        <v>774</v>
      </c>
      <c r="B29" s="240">
        <f>12227.54</f>
        <v>12227.54</v>
      </c>
      <c r="C29" s="240">
        <f>1029.98</f>
        <v>1029.98</v>
      </c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470227.54</v>
      </c>
      <c r="C31" s="231">
        <f>SUM(C28:C30)</f>
        <v>245240.53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343027.44000000006</v>
      </c>
      <c r="C36" s="235">
        <f>'DOE25'!G200+'DOE25'!G218+'DOE25'!G236+'DOE25'!G279+'DOE25'!G298+'DOE25'!G317</f>
        <v>72490.2</v>
      </c>
    </row>
    <row r="37" spans="1:3" x14ac:dyDescent="0.2">
      <c r="A37" t="s">
        <v>773</v>
      </c>
      <c r="B37" s="240">
        <f>35112.94</f>
        <v>35112.94</v>
      </c>
      <c r="C37" s="240">
        <f>7741.77</f>
        <v>7741.77</v>
      </c>
    </row>
    <row r="38" spans="1:3" x14ac:dyDescent="0.2">
      <c r="A38" t="s">
        <v>774</v>
      </c>
      <c r="B38" s="240">
        <f>18478.95</f>
        <v>18478.95</v>
      </c>
      <c r="C38" s="240">
        <f>1472.89</f>
        <v>1472.89</v>
      </c>
    </row>
    <row r="39" spans="1:3" x14ac:dyDescent="0.2">
      <c r="A39" t="s">
        <v>775</v>
      </c>
      <c r="B39" s="240">
        <f>289435.55</f>
        <v>289435.55</v>
      </c>
      <c r="C39" s="240">
        <f>63275.54</f>
        <v>63275.54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343027.44</v>
      </c>
      <c r="C40" s="231">
        <f>SUM(C37:C39)</f>
        <v>72490.2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Berlin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11844643.579999998</v>
      </c>
      <c r="D5" s="20">
        <f>SUM('DOE25'!L197:L200)+SUM('DOE25'!L215:L218)+SUM('DOE25'!L233:L236)-F5-G5</f>
        <v>11609274.689999998</v>
      </c>
      <c r="E5" s="243"/>
      <c r="F5" s="255">
        <f>SUM('DOE25'!J197:J200)+SUM('DOE25'!J215:J218)+SUM('DOE25'!J233:J236)</f>
        <v>217693.83000000002</v>
      </c>
      <c r="G5" s="53">
        <f>SUM('DOE25'!K197:K200)+SUM('DOE25'!K215:K218)+SUM('DOE25'!K233:K236)</f>
        <v>17675.059999999998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1751591.1700000004</v>
      </c>
      <c r="D6" s="20">
        <f>'DOE25'!L202+'DOE25'!L220+'DOE25'!L238-F6-G6</f>
        <v>1743402.5400000005</v>
      </c>
      <c r="E6" s="243"/>
      <c r="F6" s="255">
        <f>'DOE25'!J202+'DOE25'!J220+'DOE25'!J238</f>
        <v>6846.74</v>
      </c>
      <c r="G6" s="53">
        <f>'DOE25'!K202+'DOE25'!K220+'DOE25'!K238</f>
        <v>1341.89</v>
      </c>
      <c r="H6" s="259"/>
    </row>
    <row r="7" spans="1:9" x14ac:dyDescent="0.2">
      <c r="A7" s="32">
        <v>2200</v>
      </c>
      <c r="B7" t="s">
        <v>828</v>
      </c>
      <c r="C7" s="245">
        <f t="shared" si="0"/>
        <v>228819.59999999998</v>
      </c>
      <c r="D7" s="20">
        <f>'DOE25'!L203+'DOE25'!L221+'DOE25'!L239-F7-G7</f>
        <v>227652.61</v>
      </c>
      <c r="E7" s="243"/>
      <c r="F7" s="255">
        <f>'DOE25'!J203+'DOE25'!J221+'DOE25'!J239</f>
        <v>1166.99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404990.98999999993</v>
      </c>
      <c r="D8" s="243"/>
      <c r="E8" s="20">
        <f>'DOE25'!L204+'DOE25'!L222+'DOE25'!L240-F8-G8-D9-D11</f>
        <v>373447.89999999991</v>
      </c>
      <c r="F8" s="255">
        <f>'DOE25'!J204+'DOE25'!J222+'DOE25'!J240</f>
        <v>2548.94</v>
      </c>
      <c r="G8" s="53">
        <f>'DOE25'!K204+'DOE25'!K222+'DOE25'!K240</f>
        <v>28994.15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23831.06</v>
      </c>
      <c r="D9" s="244">
        <v>23831.06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241674.37</v>
      </c>
      <c r="D11" s="244">
        <v>241674.37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972272.78</v>
      </c>
      <c r="D12" s="20">
        <f>'DOE25'!L205+'DOE25'!L223+'DOE25'!L241-F12-G12</f>
        <v>945550.78</v>
      </c>
      <c r="E12" s="243"/>
      <c r="F12" s="255">
        <f>'DOE25'!J205+'DOE25'!J223+'DOE25'!J241</f>
        <v>18589.03</v>
      </c>
      <c r="G12" s="53">
        <f>'DOE25'!K205+'DOE25'!K223+'DOE25'!K241</f>
        <v>8132.97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284489.48</v>
      </c>
      <c r="D13" s="243"/>
      <c r="E13" s="20">
        <f>'DOE25'!L206+'DOE25'!L224+'DOE25'!L242-F13-G13</f>
        <v>278264.02999999997</v>
      </c>
      <c r="F13" s="255">
        <f>'DOE25'!J206+'DOE25'!J224+'DOE25'!J242</f>
        <v>0</v>
      </c>
      <c r="G13" s="53">
        <f>'DOE25'!K206+'DOE25'!K224+'DOE25'!K242</f>
        <v>6225.4500000000007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1781069.05</v>
      </c>
      <c r="D14" s="20">
        <f>'DOE25'!L207+'DOE25'!L225+'DOE25'!L243-F14-G14</f>
        <v>1726507.19</v>
      </c>
      <c r="E14" s="243"/>
      <c r="F14" s="255">
        <f>'DOE25'!J207+'DOE25'!J225+'DOE25'!J243</f>
        <v>54561.86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349666.51</v>
      </c>
      <c r="D15" s="20">
        <f>'DOE25'!L208+'DOE25'!L226+'DOE25'!L244-F15-G15</f>
        <v>310383.51</v>
      </c>
      <c r="E15" s="243"/>
      <c r="F15" s="255">
        <f>'DOE25'!J208+'DOE25'!J226+'DOE25'!J244</f>
        <v>38995</v>
      </c>
      <c r="G15" s="53">
        <f>'DOE25'!K208+'DOE25'!K226+'DOE25'!K244</f>
        <v>288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7975.3099999999995</v>
      </c>
      <c r="D16" s="243"/>
      <c r="E16" s="20">
        <f>'DOE25'!L209+'DOE25'!L227+'DOE25'!L245-F16-G16</f>
        <v>7975.3099999999995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378313.68999999994</v>
      </c>
      <c r="D29" s="20">
        <f>'DOE25'!L358+'DOE25'!L359+'DOE25'!L360-'DOE25'!I367-F29-G29</f>
        <v>376441.28999999992</v>
      </c>
      <c r="E29" s="243"/>
      <c r="F29" s="255">
        <f>'DOE25'!J358+'DOE25'!J359+'DOE25'!J360</f>
        <v>139.94999999999999</v>
      </c>
      <c r="G29" s="53">
        <f>'DOE25'!K358+'DOE25'!K359+'DOE25'!K360</f>
        <v>1732.4499999999998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2359878.4200000009</v>
      </c>
      <c r="D31" s="20">
        <f>'DOE25'!L290+'DOE25'!L309+'DOE25'!L328+'DOE25'!L333+'DOE25'!L334+'DOE25'!L335-F31-G31</f>
        <v>2247689.7700000005</v>
      </c>
      <c r="E31" s="243"/>
      <c r="F31" s="255">
        <f>'DOE25'!J290+'DOE25'!J309+'DOE25'!J328+'DOE25'!J333+'DOE25'!J334+'DOE25'!J335</f>
        <v>109308.91</v>
      </c>
      <c r="G31" s="53">
        <f>'DOE25'!K290+'DOE25'!K309+'DOE25'!K328+'DOE25'!K333+'DOE25'!K334+'DOE25'!K335</f>
        <v>2879.7400000000002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19452407.809999995</v>
      </c>
      <c r="E33" s="246">
        <f>SUM(E5:E31)</f>
        <v>659687.24</v>
      </c>
      <c r="F33" s="246">
        <f>SUM(F5:F31)</f>
        <v>449851.25</v>
      </c>
      <c r="G33" s="246">
        <f>SUM(G5:G31)</f>
        <v>67269.710000000006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659687.24</v>
      </c>
      <c r="E35" s="249"/>
    </row>
    <row r="36" spans="2:8" ht="12" thickTop="1" x14ac:dyDescent="0.2">
      <c r="B36" t="s">
        <v>809</v>
      </c>
      <c r="D36" s="20">
        <f>D33</f>
        <v>19452407.809999995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17572.78</v>
      </c>
      <c r="E8" s="95">
        <f>'DOE25'!H9</f>
        <v>70544.13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17572.78</v>
      </c>
      <c r="E18" s="41">
        <f>SUM(E8:E17)</f>
        <v>70544.13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17572.78</v>
      </c>
      <c r="E47" s="95">
        <f>'DOE25'!H48</f>
        <v>70544.13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17572.78</v>
      </c>
      <c r="E50" s="41">
        <f>SUM(E34:E49)</f>
        <v>70544.13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17572.78</v>
      </c>
      <c r="E51" s="41">
        <f>E50+E31</f>
        <v>70544.13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5574876.6100000003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1453611.95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2198.42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191234.33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13146.66</v>
      </c>
      <c r="D61" s="95">
        <f>SUM('DOE25'!G98:G110)</f>
        <v>443.91</v>
      </c>
      <c r="E61" s="95">
        <f>SUM('DOE25'!H98:H110)</f>
        <v>105815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1468957.0299999998</v>
      </c>
      <c r="D62" s="130">
        <f>SUM(D57:D61)</f>
        <v>191678.24</v>
      </c>
      <c r="E62" s="130">
        <f>SUM(E57:E61)</f>
        <v>105815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7043833.6400000006</v>
      </c>
      <c r="D63" s="22">
        <f>D56+D62</f>
        <v>191678.24</v>
      </c>
      <c r="E63" s="22">
        <f>E56+E62</f>
        <v>105815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9828693.9299999997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632121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13069.58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10473884.51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70280.679999999993</v>
      </c>
      <c r="D76" s="24" t="s">
        <v>286</v>
      </c>
      <c r="E76" s="95">
        <f>SUM('DOE25'!H127:H130)</f>
        <v>8088.82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8920.44</v>
      </c>
      <c r="E77" s="95">
        <f>SUM('DOE25'!H131:H135)</f>
        <v>75054.240000000005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70280.679999999993</v>
      </c>
      <c r="D78" s="130">
        <f>SUM(D72:D77)</f>
        <v>8920.44</v>
      </c>
      <c r="E78" s="130">
        <f>SUM(E72:E77)</f>
        <v>83143.06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10544165.189999999</v>
      </c>
      <c r="D81" s="130">
        <f>SUM(D79:D80)+D78+D70</f>
        <v>8920.44</v>
      </c>
      <c r="E81" s="130">
        <f>SUM(E79:E80)+E78+E70</f>
        <v>83143.06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295264.49</v>
      </c>
      <c r="D88" s="95">
        <f>SUM('DOE25'!G153:G161)</f>
        <v>411332.22</v>
      </c>
      <c r="E88" s="95">
        <f>SUM('DOE25'!H153:H161)</f>
        <v>2356022.5700000003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6634.66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7760.58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303025.07</v>
      </c>
      <c r="D91" s="131">
        <f>SUM(D85:D90)</f>
        <v>411332.22</v>
      </c>
      <c r="E91" s="131">
        <f>SUM(E85:E90)</f>
        <v>2362657.2300000004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17891023.899999999</v>
      </c>
      <c r="D104" s="86">
        <f>D63+D81+D91+D103</f>
        <v>611930.89999999991</v>
      </c>
      <c r="E104" s="86">
        <f>E63+E81+E91+E103</f>
        <v>2551615.2900000005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7509624.2100000009</v>
      </c>
      <c r="D109" s="24" t="s">
        <v>286</v>
      </c>
      <c r="E109" s="95">
        <f>('DOE25'!L276)+('DOE25'!L295)+('DOE25'!L314)</f>
        <v>76957.33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3185180</v>
      </c>
      <c r="D110" s="24" t="s">
        <v>286</v>
      </c>
      <c r="E110" s="95">
        <f>('DOE25'!L277)+('DOE25'!L296)+('DOE25'!L315)</f>
        <v>1182166.8900000001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760963.39999999991</v>
      </c>
      <c r="D111" s="24" t="s">
        <v>286</v>
      </c>
      <c r="E111" s="95">
        <f>('DOE25'!L278)+('DOE25'!L297)+('DOE25'!L316)</f>
        <v>82243.08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388875.97</v>
      </c>
      <c r="D112" s="24" t="s">
        <v>286</v>
      </c>
      <c r="E112" s="95">
        <f>+('DOE25'!L279)+('DOE25'!L298)+('DOE25'!L317)</f>
        <v>200323.83000000002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40100.99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11844643.580000002</v>
      </c>
      <c r="D115" s="86">
        <f>SUM(D109:D114)</f>
        <v>0</v>
      </c>
      <c r="E115" s="86">
        <f>SUM(E109:E114)</f>
        <v>1581792.1200000003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1751591.1700000004</v>
      </c>
      <c r="D118" s="24" t="s">
        <v>286</v>
      </c>
      <c r="E118" s="95">
        <f>+('DOE25'!L281)+('DOE25'!L300)+('DOE25'!L319)</f>
        <v>483290.77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228819.59999999998</v>
      </c>
      <c r="D119" s="24" t="s">
        <v>286</v>
      </c>
      <c r="E119" s="95">
        <f>+('DOE25'!L282)+('DOE25'!L301)+('DOE25'!L320)</f>
        <v>72274.61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670496.41999999993</v>
      </c>
      <c r="D120" s="24" t="s">
        <v>286</v>
      </c>
      <c r="E120" s="95">
        <f>+('DOE25'!L283)+('DOE25'!L302)+('DOE25'!L321)</f>
        <v>164235.98000000001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972272.78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284489.48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1781069.05</v>
      </c>
      <c r="D123" s="24" t="s">
        <v>286</v>
      </c>
      <c r="E123" s="95">
        <f>+('DOE25'!L286)+('DOE25'!L305)+('DOE25'!L324)</f>
        <v>55644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349666.51</v>
      </c>
      <c r="D124" s="24" t="s">
        <v>286</v>
      </c>
      <c r="E124" s="95">
        <f>+('DOE25'!L287)+('DOE25'!L306)+('DOE25'!L325)</f>
        <v>2198.42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7975.3099999999995</v>
      </c>
      <c r="D125" s="24" t="s">
        <v>286</v>
      </c>
      <c r="E125" s="95">
        <f>+('DOE25'!L288)+('DOE25'!L307)+('DOE25'!L326)</f>
        <v>442.52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607884.82999999996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6046380.3200000003</v>
      </c>
      <c r="D128" s="86">
        <f>SUM(D118:D127)</f>
        <v>607884.82999999996</v>
      </c>
      <c r="E128" s="86">
        <f>SUM(E118:E127)</f>
        <v>778086.3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143964.76999999999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143964.76999999999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17891023.900000002</v>
      </c>
      <c r="D145" s="86">
        <f>(D115+D128+D144)</f>
        <v>607884.82999999996</v>
      </c>
      <c r="E145" s="86">
        <f>(E115+E128+E144)</f>
        <v>2503843.1900000004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01/10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357204.63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2.85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212661.33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212661.33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18924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18924</v>
      </c>
    </row>
    <row r="159" spans="1:9" x14ac:dyDescent="0.2">
      <c r="A159" s="22" t="s">
        <v>35</v>
      </c>
      <c r="B159" s="137">
        <f>'DOE25'!F498</f>
        <v>193737.33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193737.33</v>
      </c>
    </row>
    <row r="160" spans="1:9" x14ac:dyDescent="0.2">
      <c r="A160" s="22" t="s">
        <v>36</v>
      </c>
      <c r="B160" s="137">
        <f>'DOE25'!F499</f>
        <v>39319.42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39319.42</v>
      </c>
    </row>
    <row r="161" spans="1:7" x14ac:dyDescent="0.2">
      <c r="A161" s="22" t="s">
        <v>37</v>
      </c>
      <c r="B161" s="137">
        <f>'DOE25'!F500</f>
        <v>233056.75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233056.75</v>
      </c>
    </row>
    <row r="162" spans="1:7" x14ac:dyDescent="0.2">
      <c r="A162" s="22" t="s">
        <v>38</v>
      </c>
      <c r="B162" s="137">
        <f>'DOE25'!F501</f>
        <v>173817.33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173817.33</v>
      </c>
    </row>
    <row r="163" spans="1:7" x14ac:dyDescent="0.2">
      <c r="A163" s="22" t="s">
        <v>39</v>
      </c>
      <c r="B163" s="137">
        <f>'DOE25'!F502</f>
        <v>30204.7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30204.7</v>
      </c>
    </row>
    <row r="164" spans="1:7" x14ac:dyDescent="0.2">
      <c r="A164" s="22" t="s">
        <v>246</v>
      </c>
      <c r="B164" s="137">
        <f>'DOE25'!F503</f>
        <v>204022.03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204022.03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Berlin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16254</v>
      </c>
    </row>
    <row r="5" spans="1:4" x14ac:dyDescent="0.2">
      <c r="B5" t="s">
        <v>698</v>
      </c>
      <c r="C5" s="179">
        <f>IF('DOE25'!G665+'DOE25'!G670=0,0,ROUND('DOE25'!G672,0))</f>
        <v>15203</v>
      </c>
    </row>
    <row r="6" spans="1:4" x14ac:dyDescent="0.2">
      <c r="B6" t="s">
        <v>62</v>
      </c>
      <c r="C6" s="179">
        <f>IF('DOE25'!H665+'DOE25'!H670=0,0,ROUND('DOE25'!H672,0))</f>
        <v>18250</v>
      </c>
    </row>
    <row r="7" spans="1:4" x14ac:dyDescent="0.2">
      <c r="B7" t="s">
        <v>699</v>
      </c>
      <c r="C7" s="179">
        <f>IF('DOE25'!I665+'DOE25'!I670=0,0,ROUND('DOE25'!I672,0))</f>
        <v>16680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7586582</v>
      </c>
      <c r="D10" s="182">
        <f>ROUND((C10/$C$28)*100,1)</f>
        <v>36.5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4367347</v>
      </c>
      <c r="D11" s="182">
        <f>ROUND((C11/$C$28)*100,1)</f>
        <v>21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843206</v>
      </c>
      <c r="D12" s="182">
        <f>ROUND((C12/$C$28)*100,1)</f>
        <v>4.0999999999999996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589200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2234882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301094</v>
      </c>
      <c r="D16" s="182">
        <f t="shared" si="0"/>
        <v>1.4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843150</v>
      </c>
      <c r="D17" s="182">
        <f t="shared" si="0"/>
        <v>4.0999999999999996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972273</v>
      </c>
      <c r="D18" s="182">
        <f t="shared" si="0"/>
        <v>4.7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284489</v>
      </c>
      <c r="D19" s="182">
        <f t="shared" si="0"/>
        <v>1.4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1836713</v>
      </c>
      <c r="D20" s="182">
        <f t="shared" si="0"/>
        <v>8.8000000000000007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351865</v>
      </c>
      <c r="D21" s="182">
        <f t="shared" si="0"/>
        <v>1.7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40101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143964.76999999999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416206.76</v>
      </c>
      <c r="D27" s="182">
        <f t="shared" si="0"/>
        <v>2</v>
      </c>
    </row>
    <row r="28" spans="1:4" x14ac:dyDescent="0.2">
      <c r="B28" s="187" t="s">
        <v>717</v>
      </c>
      <c r="C28" s="180">
        <f>SUM(C10:C27)</f>
        <v>20811073.530000001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20811073.530000001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5574877</v>
      </c>
      <c r="D35" s="182">
        <f t="shared" ref="D35:D40" si="1">ROUND((C35/$C$41)*100,1)</f>
        <v>26.7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1574771.6400000006</v>
      </c>
      <c r="D36" s="182">
        <f t="shared" si="1"/>
        <v>7.5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10460815</v>
      </c>
      <c r="D37" s="182">
        <f t="shared" si="1"/>
        <v>50.1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175414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3077015</v>
      </c>
      <c r="D39" s="182">
        <f t="shared" si="1"/>
        <v>14.7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20862892.640000001</v>
      </c>
      <c r="D41" s="184">
        <f>SUM(D35:D40)</f>
        <v>99.800000000000011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Berlin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2018-10-04T13:29:01Z</cp:lastPrinted>
  <dcterms:created xsi:type="dcterms:W3CDTF">1997-12-04T19:04:30Z</dcterms:created>
  <dcterms:modified xsi:type="dcterms:W3CDTF">2018-12-03T18:34:25Z</dcterms:modified>
</cp:coreProperties>
</file>