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H208" i="1"/>
  <c r="F36" i="1"/>
  <c r="F48" i="1"/>
  <c r="K263" i="1"/>
  <c r="F472" i="1"/>
  <c r="F468" i="1"/>
  <c r="F57" i="1"/>
  <c r="F12" i="1"/>
  <c r="G468" i="1"/>
  <c r="G22" i="1"/>
  <c r="F17" i="1"/>
  <c r="J468" i="1"/>
  <c r="F459" i="1"/>
  <c r="G158" i="1"/>
  <c r="F9" i="1"/>
  <c r="C21" i="2"/>
  <c r="C45" i="2"/>
  <c r="G51" i="1"/>
  <c r="F51" i="1"/>
  <c r="G622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C119" i="2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/>
  <c r="I662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29" i="13"/>
  <c r="C29" i="13"/>
  <c r="L359" i="1"/>
  <c r="L360" i="1"/>
  <c r="I367" i="1"/>
  <c r="J290" i="1"/>
  <c r="F31" i="13"/>
  <c r="J309" i="1"/>
  <c r="J328" i="1"/>
  <c r="K290" i="1"/>
  <c r="K338" i="1"/>
  <c r="K352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/>
  <c r="L326" i="1"/>
  <c r="L333" i="1"/>
  <c r="L334" i="1"/>
  <c r="L335" i="1"/>
  <c r="L260" i="1"/>
  <c r="L261" i="1"/>
  <c r="L341" i="1"/>
  <c r="L342" i="1"/>
  <c r="E132" i="2"/>
  <c r="L255" i="1"/>
  <c r="L336" i="1"/>
  <c r="C11" i="13"/>
  <c r="C10" i="13"/>
  <c r="C9" i="13"/>
  <c r="L361" i="1"/>
  <c r="B4" i="12"/>
  <c r="B36" i="12"/>
  <c r="A40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A22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/>
  <c r="C139" i="2"/>
  <c r="L397" i="1"/>
  <c r="L398" i="1"/>
  <c r="L399" i="1"/>
  <c r="L400" i="1"/>
  <c r="L403" i="1"/>
  <c r="L404" i="1"/>
  <c r="L405" i="1"/>
  <c r="L406" i="1"/>
  <c r="L266" i="1"/>
  <c r="J60" i="1"/>
  <c r="G59" i="2"/>
  <c r="G61" i="2"/>
  <c r="F2" i="11"/>
  <c r="L613" i="1"/>
  <c r="H663" i="1"/>
  <c r="L612" i="1"/>
  <c r="G663" i="1"/>
  <c r="I663" i="1"/>
  <c r="L611" i="1"/>
  <c r="F663" i="1"/>
  <c r="C40" i="10"/>
  <c r="F60" i="1"/>
  <c r="C56" i="2"/>
  <c r="G60" i="1"/>
  <c r="H60" i="1"/>
  <c r="I60" i="1"/>
  <c r="I112" i="1"/>
  <c r="F79" i="1"/>
  <c r="F94" i="1"/>
  <c r="F111" i="1"/>
  <c r="G111" i="1"/>
  <c r="G112" i="1"/>
  <c r="H79" i="1"/>
  <c r="H94" i="1"/>
  <c r="E58" i="2"/>
  <c r="H111" i="1"/>
  <c r="I111" i="1"/>
  <c r="J111" i="1"/>
  <c r="F121" i="1"/>
  <c r="F136" i="1"/>
  <c r="G121" i="1"/>
  <c r="G140" i="1"/>
  <c r="G136" i="1"/>
  <c r="H121" i="1"/>
  <c r="H136" i="1"/>
  <c r="I121" i="1"/>
  <c r="I136" i="1"/>
  <c r="J121" i="1"/>
  <c r="J136" i="1"/>
  <c r="F147" i="1"/>
  <c r="C85" i="2"/>
  <c r="F162" i="1"/>
  <c r="G147" i="1"/>
  <c r="G162" i="1"/>
  <c r="H147" i="1"/>
  <c r="H162" i="1"/>
  <c r="I147" i="1"/>
  <c r="I162" i="1"/>
  <c r="C12" i="10"/>
  <c r="C13" i="10"/>
  <c r="C17" i="10"/>
  <c r="C19" i="10"/>
  <c r="L250" i="1"/>
  <c r="C23" i="10"/>
  <c r="L332" i="1"/>
  <c r="L254" i="1"/>
  <c r="L268" i="1"/>
  <c r="L269" i="1"/>
  <c r="L349" i="1"/>
  <c r="L350" i="1"/>
  <c r="I665" i="1"/>
  <c r="I670" i="1"/>
  <c r="H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L528" i="1"/>
  <c r="G551" i="1"/>
  <c r="L531" i="1"/>
  <c r="L532" i="1"/>
  <c r="H550" i="1"/>
  <c r="L533" i="1"/>
  <c r="H551" i="1"/>
  <c r="L536" i="1"/>
  <c r="L537" i="1"/>
  <c r="I550" i="1"/>
  <c r="L538" i="1"/>
  <c r="I551" i="1"/>
  <c r="L541" i="1"/>
  <c r="J549" i="1"/>
  <c r="L542" i="1"/>
  <c r="J550" i="1"/>
  <c r="L543" i="1"/>
  <c r="J551" i="1"/>
  <c r="J552" i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G16" i="2"/>
  <c r="C17" i="2"/>
  <c r="D17" i="2"/>
  <c r="E17" i="2"/>
  <c r="F17" i="2"/>
  <c r="I445" i="1"/>
  <c r="J18" i="1"/>
  <c r="G17" i="2"/>
  <c r="D21" i="2"/>
  <c r="E21" i="2"/>
  <c r="F21" i="2"/>
  <c r="I448" i="1"/>
  <c r="J22" i="1"/>
  <c r="G21" i="2"/>
  <c r="C22" i="2"/>
  <c r="D22" i="2"/>
  <c r="E22" i="2"/>
  <c r="F22" i="2"/>
  <c r="I449" i="1"/>
  <c r="J23" i="1"/>
  <c r="G22" i="2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G42" i="2"/>
  <c r="I457" i="1"/>
  <c r="J37" i="1"/>
  <c r="G36" i="2"/>
  <c r="I459" i="1"/>
  <c r="J48" i="1"/>
  <c r="C49" i="2"/>
  <c r="D56" i="2"/>
  <c r="E56" i="2"/>
  <c r="F56" i="2"/>
  <c r="C57" i="2"/>
  <c r="E57" i="2"/>
  <c r="C58" i="2"/>
  <c r="C59" i="2"/>
  <c r="D59" i="2"/>
  <c r="E59" i="2"/>
  <c r="F59" i="2"/>
  <c r="D60" i="2"/>
  <c r="C61" i="2"/>
  <c r="D61" i="2"/>
  <c r="E61" i="2"/>
  <c r="E62" i="2"/>
  <c r="F61" i="2"/>
  <c r="C66" i="2"/>
  <c r="C67" i="2"/>
  <c r="C69" i="2"/>
  <c r="D69" i="2"/>
  <c r="D70" i="2"/>
  <c r="D81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C112" i="2"/>
  <c r="E112" i="2"/>
  <c r="E113" i="2"/>
  <c r="C114" i="2"/>
  <c r="D115" i="2"/>
  <c r="F115" i="2"/>
  <c r="G115" i="2"/>
  <c r="E118" i="2"/>
  <c r="E119" i="2"/>
  <c r="E120" i="2"/>
  <c r="E121" i="2"/>
  <c r="E122" i="2"/>
  <c r="E123" i="2"/>
  <c r="C125" i="2"/>
  <c r="E125" i="2"/>
  <c r="F128" i="2"/>
  <c r="G128" i="2"/>
  <c r="C130" i="2"/>
  <c r="E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32" i="1"/>
  <c r="G52" i="1"/>
  <c r="H618" i="1"/>
  <c r="H32" i="1"/>
  <c r="H52" i="1"/>
  <c r="H619" i="1"/>
  <c r="I32" i="1"/>
  <c r="H51" i="1"/>
  <c r="I51" i="1"/>
  <c r="F177" i="1"/>
  <c r="F192" i="1"/>
  <c r="I177" i="1"/>
  <c r="F183" i="1"/>
  <c r="G183" i="1"/>
  <c r="G192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/>
  <c r="H634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G408" i="1"/>
  <c r="H645" i="1"/>
  <c r="J645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H446" i="1"/>
  <c r="G641" i="1"/>
  <c r="F452" i="1"/>
  <c r="G452" i="1"/>
  <c r="G461" i="1"/>
  <c r="H640" i="1"/>
  <c r="H452" i="1"/>
  <c r="F460" i="1"/>
  <c r="F461" i="1"/>
  <c r="H639" i="1"/>
  <c r="G460" i="1"/>
  <c r="H460" i="1"/>
  <c r="F470" i="1"/>
  <c r="G470" i="1"/>
  <c r="H470" i="1"/>
  <c r="I470" i="1"/>
  <c r="J470" i="1"/>
  <c r="J476" i="1"/>
  <c r="F474" i="1"/>
  <c r="G474" i="1"/>
  <c r="H474" i="1"/>
  <c r="I474" i="1"/>
  <c r="I476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3" i="1"/>
  <c r="G644" i="1"/>
  <c r="G645" i="1"/>
  <c r="G649" i="1"/>
  <c r="G650" i="1"/>
  <c r="G651" i="1"/>
  <c r="G652" i="1"/>
  <c r="H652" i="1"/>
  <c r="G653" i="1"/>
  <c r="J653" i="1"/>
  <c r="H653" i="1"/>
  <c r="G654" i="1"/>
  <c r="H654" i="1"/>
  <c r="H655" i="1"/>
  <c r="J655" i="1"/>
  <c r="L351" i="1"/>
  <c r="A31" i="12"/>
  <c r="D6" i="13"/>
  <c r="C6" i="13"/>
  <c r="E8" i="13"/>
  <c r="C8" i="13"/>
  <c r="E103" i="2"/>
  <c r="E31" i="2"/>
  <c r="D19" i="13"/>
  <c r="C19" i="13"/>
  <c r="E78" i="2"/>
  <c r="L427" i="1"/>
  <c r="L433" i="1"/>
  <c r="I169" i="1"/>
  <c r="H626" i="1"/>
  <c r="H625" i="1"/>
  <c r="G338" i="1"/>
  <c r="G352" i="1"/>
  <c r="F169" i="1"/>
  <c r="C29" i="10"/>
  <c r="F22" i="13"/>
  <c r="C22" i="13"/>
  <c r="J545" i="1"/>
  <c r="H192" i="1"/>
  <c r="L565" i="1"/>
  <c r="L337" i="1"/>
  <c r="F62" i="2"/>
  <c r="F63" i="2"/>
  <c r="G160" i="2"/>
  <c r="G158" i="2"/>
  <c r="C103" i="2"/>
  <c r="F91" i="2"/>
  <c r="F31" i="2"/>
  <c r="C24" i="10"/>
  <c r="I338" i="1"/>
  <c r="I352" i="1"/>
  <c r="L407" i="1"/>
  <c r="C140" i="2"/>
  <c r="J654" i="1"/>
  <c r="J434" i="1"/>
  <c r="K434" i="1"/>
  <c r="G134" i="2"/>
  <c r="G144" i="2"/>
  <c r="C6" i="10"/>
  <c r="G169" i="1"/>
  <c r="F140" i="1"/>
  <c r="C5" i="10"/>
  <c r="F545" i="1"/>
  <c r="H434" i="1"/>
  <c r="D103" i="2"/>
  <c r="I140" i="1"/>
  <c r="I434" i="1"/>
  <c r="A13" i="12"/>
  <c r="L524" i="1"/>
  <c r="G47" i="2"/>
  <c r="G623" i="1"/>
  <c r="C11" i="10"/>
  <c r="E109" i="2"/>
  <c r="D7" i="13"/>
  <c r="C7" i="13"/>
  <c r="C110" i="2"/>
  <c r="F32" i="1"/>
  <c r="C91" i="2"/>
  <c r="C21" i="10"/>
  <c r="J649" i="1"/>
  <c r="C124" i="2"/>
  <c r="F661" i="1"/>
  <c r="F476" i="1"/>
  <c r="H622" i="1"/>
  <c r="J622" i="1"/>
  <c r="H476" i="1"/>
  <c r="H624" i="1"/>
  <c r="J624" i="1"/>
  <c r="F112" i="1"/>
  <c r="F193" i="1"/>
  <c r="G627" i="1"/>
  <c r="J627" i="1"/>
  <c r="F52" i="1"/>
  <c r="H617" i="1"/>
  <c r="J617" i="1"/>
  <c r="G161" i="2"/>
  <c r="F552" i="1"/>
  <c r="J651" i="1"/>
  <c r="L570" i="1"/>
  <c r="I571" i="1"/>
  <c r="J571" i="1"/>
  <c r="F571" i="1"/>
  <c r="I257" i="1"/>
  <c r="I271" i="1"/>
  <c r="K257" i="1"/>
  <c r="K271" i="1"/>
  <c r="F78" i="2"/>
  <c r="F81" i="2"/>
  <c r="J140" i="1"/>
  <c r="H140" i="1"/>
  <c r="C38" i="10"/>
  <c r="G62" i="2"/>
  <c r="C15" i="10"/>
  <c r="L229" i="1"/>
  <c r="E16" i="13"/>
  <c r="C16" i="13"/>
  <c r="E13" i="13"/>
  <c r="C120" i="2"/>
  <c r="J643" i="1"/>
  <c r="K605" i="1"/>
  <c r="G648" i="1"/>
  <c r="F434" i="1"/>
  <c r="F408" i="1"/>
  <c r="H643" i="1"/>
  <c r="F338" i="1"/>
  <c r="F352" i="1"/>
  <c r="J257" i="1"/>
  <c r="F257" i="1"/>
  <c r="F271" i="1"/>
  <c r="G103" i="2"/>
  <c r="D18" i="13"/>
  <c r="C18" i="13"/>
  <c r="D17" i="13"/>
  <c r="C17" i="13"/>
  <c r="G193" i="1"/>
  <c r="G628" i="1"/>
  <c r="J628" i="1"/>
  <c r="G571" i="1"/>
  <c r="L560" i="1"/>
  <c r="L571" i="1"/>
  <c r="H461" i="1"/>
  <c r="H641" i="1"/>
  <c r="J641" i="1"/>
  <c r="G162" i="2"/>
  <c r="G159" i="2"/>
  <c r="G157" i="2"/>
  <c r="C78" i="2"/>
  <c r="C18" i="2"/>
  <c r="C35" i="10"/>
  <c r="G31" i="13"/>
  <c r="G33" i="13"/>
  <c r="J338" i="1"/>
  <c r="J352" i="1"/>
  <c r="C16" i="10"/>
  <c r="J640" i="1"/>
  <c r="I545" i="1"/>
  <c r="H257" i="1"/>
  <c r="H271" i="1"/>
  <c r="J619" i="1"/>
  <c r="E18" i="2"/>
  <c r="J639" i="1"/>
  <c r="G476" i="1"/>
  <c r="H623" i="1"/>
  <c r="J623" i="1"/>
  <c r="D91" i="2"/>
  <c r="D62" i="2"/>
  <c r="D63" i="2"/>
  <c r="J618" i="1"/>
  <c r="K545" i="1"/>
  <c r="L256" i="1"/>
  <c r="G257" i="1"/>
  <c r="G271" i="1"/>
  <c r="C62" i="2"/>
  <c r="C63" i="2"/>
  <c r="D31" i="2"/>
  <c r="D18" i="2"/>
  <c r="I549" i="1"/>
  <c r="I552" i="1"/>
  <c r="L539" i="1"/>
  <c r="K551" i="1"/>
  <c r="L382" i="1"/>
  <c r="G636" i="1"/>
  <c r="J636" i="1"/>
  <c r="E85" i="2"/>
  <c r="E91" i="2"/>
  <c r="H169" i="1"/>
  <c r="C39" i="10"/>
  <c r="D127" i="2"/>
  <c r="D128" i="2"/>
  <c r="D145" i="2"/>
  <c r="G661" i="1"/>
  <c r="I661" i="1"/>
  <c r="H571" i="1"/>
  <c r="H338" i="1"/>
  <c r="H352" i="1"/>
  <c r="I192" i="1"/>
  <c r="I193" i="1"/>
  <c r="G630" i="1"/>
  <c r="J630" i="1"/>
  <c r="G145" i="2"/>
  <c r="D50" i="2"/>
  <c r="C142" i="2"/>
  <c r="C26" i="10"/>
  <c r="L328" i="1"/>
  <c r="L309" i="1"/>
  <c r="E124" i="2"/>
  <c r="E128" i="2"/>
  <c r="E111" i="2"/>
  <c r="L290" i="1"/>
  <c r="E50" i="2"/>
  <c r="E51" i="2"/>
  <c r="G434" i="1"/>
  <c r="I52" i="1"/>
  <c r="H620" i="1"/>
  <c r="J620" i="1"/>
  <c r="G625" i="1"/>
  <c r="J625" i="1"/>
  <c r="G164" i="2"/>
  <c r="G163" i="2"/>
  <c r="G156" i="2"/>
  <c r="F103" i="2"/>
  <c r="F104" i="2"/>
  <c r="J31" i="1"/>
  <c r="G30" i="2"/>
  <c r="G31" i="2"/>
  <c r="I452" i="1"/>
  <c r="C31" i="2"/>
  <c r="E144" i="2"/>
  <c r="H549" i="1"/>
  <c r="L534" i="1"/>
  <c r="F33" i="13"/>
  <c r="L247" i="1"/>
  <c r="G660" i="1"/>
  <c r="C10" i="10"/>
  <c r="C109" i="2"/>
  <c r="L211" i="1"/>
  <c r="J45" i="1"/>
  <c r="I460" i="1"/>
  <c r="F50" i="2"/>
  <c r="F51" i="2"/>
  <c r="C50" i="2"/>
  <c r="E81" i="2"/>
  <c r="J652" i="1"/>
  <c r="J634" i="1"/>
  <c r="H408" i="1"/>
  <c r="H644" i="1"/>
  <c r="C113" i="2"/>
  <c r="E63" i="2"/>
  <c r="J13" i="1"/>
  <c r="I446" i="1"/>
  <c r="G642" i="1"/>
  <c r="L270" i="1"/>
  <c r="G550" i="1"/>
  <c r="K550" i="1"/>
  <c r="L529" i="1"/>
  <c r="L545" i="1"/>
  <c r="H112" i="1"/>
  <c r="L362" i="1"/>
  <c r="H647" i="1"/>
  <c r="D15" i="13"/>
  <c r="C15" i="13"/>
  <c r="J644" i="1"/>
  <c r="K598" i="1"/>
  <c r="G647" i="1"/>
  <c r="K571" i="1"/>
  <c r="G545" i="1"/>
  <c r="L419" i="1"/>
  <c r="L434" i="1"/>
  <c r="G638" i="1"/>
  <c r="J638" i="1"/>
  <c r="C70" i="2"/>
  <c r="C81" i="2"/>
  <c r="F18" i="2"/>
  <c r="G552" i="1"/>
  <c r="F130" i="2"/>
  <c r="F144" i="2" s="1"/>
  <c r="F145" i="2" s="1"/>
  <c r="J112" i="1"/>
  <c r="J193" i="1"/>
  <c r="G56" i="2"/>
  <c r="G63" i="2"/>
  <c r="G104" i="2"/>
  <c r="L393" i="1"/>
  <c r="C132" i="2"/>
  <c r="H25" i="13"/>
  <c r="C25" i="10"/>
  <c r="E114" i="2"/>
  <c r="D14" i="13"/>
  <c r="C14" i="13"/>
  <c r="C20" i="10"/>
  <c r="C123" i="2"/>
  <c r="C18" i="10"/>
  <c r="D12" i="13"/>
  <c r="C12" i="13"/>
  <c r="C121" i="2"/>
  <c r="C118" i="2"/>
  <c r="D5" i="13"/>
  <c r="C122" i="2"/>
  <c r="G664" i="1"/>
  <c r="G667" i="1"/>
  <c r="J647" i="1"/>
  <c r="D104" i="2"/>
  <c r="C104" i="2"/>
  <c r="J271" i="1"/>
  <c r="H648" i="1"/>
  <c r="J648" i="1"/>
  <c r="C13" i="13"/>
  <c r="E33" i="13"/>
  <c r="D35" i="13"/>
  <c r="D51" i="2"/>
  <c r="G646" i="1"/>
  <c r="G631" i="1"/>
  <c r="J631" i="1"/>
  <c r="C27" i="10"/>
  <c r="G635" i="1"/>
  <c r="J635" i="1"/>
  <c r="D31" i="13"/>
  <c r="C31" i="13"/>
  <c r="L338" i="1"/>
  <c r="L352" i="1"/>
  <c r="G633" i="1"/>
  <c r="J633" i="1"/>
  <c r="C5" i="13"/>
  <c r="C138" i="2"/>
  <c r="L408" i="1"/>
  <c r="J19" i="1"/>
  <c r="G621" i="1"/>
  <c r="G12" i="2"/>
  <c r="G18" i="2"/>
  <c r="C115" i="2"/>
  <c r="H33" i="13"/>
  <c r="C25" i="13"/>
  <c r="J51" i="1"/>
  <c r="G44" i="2"/>
  <c r="G50" i="2"/>
  <c r="G51" i="2"/>
  <c r="H552" i="1"/>
  <c r="K549" i="1"/>
  <c r="K552" i="1"/>
  <c r="C128" i="2"/>
  <c r="E104" i="2"/>
  <c r="C28" i="10"/>
  <c r="D25" i="10"/>
  <c r="I461" i="1"/>
  <c r="H642" i="1"/>
  <c r="J642" i="1"/>
  <c r="J32" i="1"/>
  <c r="H193" i="1"/>
  <c r="G629" i="1"/>
  <c r="J629" i="1"/>
  <c r="C36" i="10"/>
  <c r="C51" i="2"/>
  <c r="L257" i="1"/>
  <c r="L271" i="1"/>
  <c r="G632" i="1"/>
  <c r="J632" i="1"/>
  <c r="F660" i="1"/>
  <c r="H660" i="1"/>
  <c r="H664" i="1"/>
  <c r="E115" i="2"/>
  <c r="E145" i="2"/>
  <c r="G672" i="1"/>
  <c r="D33" i="13"/>
  <c r="D36" i="13"/>
  <c r="F664" i="1"/>
  <c r="I660" i="1"/>
  <c r="I664" i="1"/>
  <c r="D22" i="10"/>
  <c r="C30" i="10"/>
  <c r="D15" i="10"/>
  <c r="D11" i="10"/>
  <c r="D16" i="10"/>
  <c r="D12" i="10"/>
  <c r="D23" i="10"/>
  <c r="D13" i="10"/>
  <c r="D24" i="10"/>
  <c r="D21" i="10"/>
  <c r="D19" i="10"/>
  <c r="D17" i="10"/>
  <c r="J52" i="1"/>
  <c r="H621" i="1"/>
  <c r="G626" i="1"/>
  <c r="J626" i="1"/>
  <c r="D26" i="10"/>
  <c r="G637" i="1"/>
  <c r="J637" i="1"/>
  <c r="H646" i="1"/>
  <c r="J646" i="1"/>
  <c r="D20" i="10"/>
  <c r="D10" i="10"/>
  <c r="C141" i="2"/>
  <c r="C144" i="2"/>
  <c r="C145" i="2"/>
  <c r="C41" i="10"/>
  <c r="D36" i="10"/>
  <c r="H672" i="1"/>
  <c r="H667" i="1"/>
  <c r="D18" i="10"/>
  <c r="D27" i="10"/>
  <c r="J621" i="1"/>
  <c r="H656" i="1"/>
  <c r="I667" i="1"/>
  <c r="I672" i="1"/>
  <c r="C7" i="10"/>
  <c r="D40" i="10"/>
  <c r="D37" i="10"/>
  <c r="D35" i="10"/>
  <c r="D38" i="10"/>
  <c r="D39" i="10"/>
  <c r="D28" i="10"/>
  <c r="F667" i="1"/>
  <c r="F672" i="1"/>
  <c r="C4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<sst xmlns="http://schemas.openxmlformats.org/spreadsheetml/2006/main" count="3958" uniqueCount="914">
  <si>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</si>
  <si>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</si>
  <si>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</si>
  <si>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</si>
  <si>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</si>
  <si>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</si>
  <si>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</si>
  <si>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</si>
  <si>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</si>
  <si>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</si>
  <si>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</si>
  <si>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</si>
  <si>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</si>
  <si>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</si>
  <si>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</si>
  <si>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</si>
  <si>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</si>
  <si>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</si>
  <si>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</si>
  <si>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</si>
  <si>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</si>
  <si>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</si>
  <si>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</si>
  <si>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</si>
  <si>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</si>
  <si>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</si>
  <si>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</si>
  <si>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</si>
  <si>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</si>
  <si>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</si>
  <si>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</si>
  <si>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</si>
  <si>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</si>
  <si>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</si>
  <si>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</si>
  <si>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</si>
  <si>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</si>
  <si>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</si>
  <si>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</si>
  <si>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</si>
  <si>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</si>
  <si>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</si>
  <si>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</si>
  <si>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</si>
  <si>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</si>
  <si>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</si>
  <si>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</si>
  <si>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</si>
  <si>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</si>
  <si>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</si>
  <si>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</si>
  <si>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</si>
  <si>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</si>
  <si>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</si>
  <si>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</si>
  <si>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</si>
  <si>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</si>
  <si>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</si>
  <si>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</si>
  <si>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</si>
  <si>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</si>
  <si>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</si>
  <si>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</si>
  <si>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</si>
  <si>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</si>
  <si>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</si>
  <si>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</si>
  <si>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</si>
  <si>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</si>
  <si>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</si>
  <si>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</si>
  <si>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</si>
  <si>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</si>
  <si>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</si>
  <si>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</si>
  <si>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</si>
  <si>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</si>
  <si>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</si>
  <si>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</si>
  <si>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</si>
  <si>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</si>
  <si>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</si>
  <si>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</si>
  <si>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</si>
  <si>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</si>
  <si>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</si>
  <si>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</si>
  <si>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</si>
  <si>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</si>
  <si>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</si>
  <si>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</si>
  <si>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</si>
  <si>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</si>
  <si>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</si>
  <si>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</si>
  <si>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</si>
  <si>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</si>
  <si>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</si>
  <si>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</si>
  <si>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</si>
  <si>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</si>
  <si>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</si>
  <si>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</si>
  <si>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</si>
  <si>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</si>
  <si>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</si>
  <si>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</si>
  <si>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</si>
  <si>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</si>
  <si>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</si>
  <si>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</si>
  <si>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</si>
  <si>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</si>
  <si>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</si>
  <si>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</si>
  <si>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</si>
  <si>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</si>
  <si>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</si>
  <si>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</si>
  <si>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</si>
  <si>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</si>
  <si>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</si>
  <si>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</si>
  <si>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</si>
  <si>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</si>
  <si>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</si>
  <si>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</si>
  <si>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</si>
  <si>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</si>
  <si>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</si>
  <si>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</si>
  <si>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</si>
  <si>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</si>
  <si>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</si>
  <si>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</si>
  <si>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</si>
  <si>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</si>
  <si>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</si>
  <si>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</si>
  <si>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</si>
  <si>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</si>
  <si>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</si>
  <si>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</si>
  <si>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</si>
  <si>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</si>
  <si>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</si>
  <si>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</si>
  <si>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</si>
  <si>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</si>
  <si>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</si>
  <si>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</si>
  <si>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</si>
  <si>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</si>
  <si>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</si>
  <si>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</si>
  <si>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</si>
  <si>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</si>
  <si>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</si>
  <si>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</si>
  <si>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</si>
  <si>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</si>
  <si>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</si>
  <si>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</si>
  <si>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</si>
  <si>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</si>
  <si>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</si>
  <si>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</si>
  <si>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</si>
  <si>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</si>
  <si>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</si>
  <si>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</si>
  <si>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</si>
  <si>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</si>
  <si>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</si>
  <si>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</si>
  <si>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</si>
  <si>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</si>
  <si>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</si>
  <si>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</si>
  <si>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</si>
  <si>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</si>
  <si>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</si>
  <si>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</si>
  <si>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</si>
  <si>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</si>
  <si>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</si>
  <si>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</si>
  <si>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</si>
  <si>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</si>
  <si>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</si>
  <si>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</si>
  <si>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</si>
  <si>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</si>
  <si>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</si>
  <si>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</si>
  <si>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</si>
  <si>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</si>
  <si>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</si>
  <si>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</si>
  <si>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</si>
  <si>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</si>
  <si>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</si>
  <si>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</si>
  <si>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</si>
  <si>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</si>
  <si>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</si>
  <si>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</si>
  <si>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</si>
  <si>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</si>
  <si>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</si>
  <si>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</si>
  <si>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</si>
  <si>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</si>
  <si>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</si>
  <si>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</si>
  <si>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</si>
  <si>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</si>
  <si>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</si>
  <si>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</si>
  <si>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</si>
  <si>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</si>
  <si>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</si>
  <si>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</si>
  <si>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</si>
  <si>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</si>
  <si>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</si>
  <si>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</si>
  <si>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</si>
  <si>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</si>
  <si>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</si>
  <si>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</si>
  <si>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</si>
  <si>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</si>
  <si>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</si>
  <si>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</si>
  <si>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</si>
  <si>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</si>
  <si>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</si>
  <si>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</si>
  <si>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</si>
  <si>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</si>
  <si>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</si>
  <si>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</si>
  <si>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</si>
  <si>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</si>
  <si>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</si>
  <si>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</si>
  <si>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</si>
  <si>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</si>
  <si>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</si>
  <si>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</si>
  <si>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</si>
  <si>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</si>
  <si>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</si>
  <si>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</si>
  <si>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</si>
  <si>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</si>
  <si>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</si>
  <si>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</si>
  <si>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</si>
  <si>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</si>
  <si>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</si>
  <si>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</si>
  <si>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</si>
  <si>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</si>
  <si>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</si>
  <si>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</si>
  <si>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</si>
  <si>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</si>
  <si>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</si>
  <si>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</si>
  <si>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</si>
  <si>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</si>
  <si>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</si>
  <si>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</si>
  <si>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</si>
  <si>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</si>
  <si>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</si>
  <si>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</si>
  <si>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</si>
  <si>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</si>
  <si>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</si>
  <si>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</si>
  <si>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</si>
  <si>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</si>
  <si>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</si>
  <si>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</si>
  <si>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</si>
  <si>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</si>
  <si>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</si>
  <si>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</si>
  <si>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</si>
  <si>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</si>
  <si>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</si>
  <si>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</si>
  <si>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</si>
  <si>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</si>
  <si>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</si>
  <si>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</si>
  <si>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</si>
  <si>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</si>
  <si>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</si>
  <si>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</si>
  <si>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</si>
  <si>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</si>
  <si>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</si>
  <si>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</si>
  <si>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</si>
  <si>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</si>
  <si>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</si>
  <si>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</si>
  <si>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</si>
  <si>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</si>
  <si>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</si>
  <si>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</si>
  <si>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</si>
  <si>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</si>
  <si>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</si>
  <si>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</si>
  <si>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</si>
  <si>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</si>
  <si>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</si>
  <si>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</si>
  <si>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</si>
  <si>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</si>
  <si>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</si>
  <si>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</si>
  <si>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</si>
  <si>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</si>
  <si>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</si>
  <si>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</si>
  <si>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</si>
  <si>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</si>
  <si>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</si>
  <si>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</si>
  <si>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</si>
  <si>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</si>
  <si>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</si>
  <si>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</si>
  <si>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</si>
  <si>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</si>
  <si>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</si>
  <si>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</si>
  <si>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</si>
  <si>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</si>
  <si>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</si>
  <si>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</si>
  <si>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</si>
  <si>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</si>
  <si>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</si>
  <si>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</si>
  <si>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</si>
  <si>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</si>
  <si>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</si>
  <si>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</si>
  <si>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</si>
  <si>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</si>
  <si>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</si>
  <si>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</si>
  <si>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</si>
  <si>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</si>
  <si>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</si>
  <si>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</si>
  <si>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</si>
  <si>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</si>
  <si>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</si>
  <si>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</si>
  <si>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</si>
  <si>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</si>
  <si>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</si>
  <si>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</si>
  <si>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</si>
  <si>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</si>
  <si>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</si>
  <si>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</si>
  <si>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</si>
  <si>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</si>
  <si>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</si>
  <si>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</si>
  <si>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</si>
  <si>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</si>
  <si>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</si>
  <si>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</si>
  <si>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</si>
  <si>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</si>
  <si>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</si>
  <si>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</si>
  <si>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</si>
  <si>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</si>
  <si>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</si>
  <si>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</si>
  <si>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</si>
  <si>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</si>
  <si>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</si>
  <si>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</si>
  <si>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</si>
  <si>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</si>
  <si>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</si>
  <si>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</si>
  <si>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</si>
  <si>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</si>
  <si>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</si>
  <si>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</si>
  <si>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</si>
  <si>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</si>
  <si>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</si>
  <si>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</si>
  <si>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</si>
  <si>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</si>
  <si>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</si>
  <si>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</si>
  <si>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</si>
  <si>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</si>
  <si>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</si>
  <si>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</si>
  <si>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</si>
  <si>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</si>
  <si>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</si>
  <si>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</si>
  <si>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</si>
  <si>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</si>
  <si>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</si>
  <si>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</si>
  <si>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</si>
  <si>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</si>
  <si>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</si>
  <si>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</si>
  <si>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</si>
  <si>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</si>
  <si>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</si>
  <si>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</si>
  <si>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</si>
  <si>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</si>
  <si>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</si>
  <si>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</si>
  <si>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</si>
  <si>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</si>
  <si>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</si>
  <si>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</si>
  <si>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</si>
  <si>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</si>
  <si>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</si>
  <si>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</si>
  <si>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</si>
  <si>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</si>
  <si>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</si>
  <si>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</si>
  <si>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</si>
  <si>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</si>
  <si>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</si>
  <si>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</si>
  <si>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</si>
  <si>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</si>
  <si>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</si>
  <si>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</si>
  <si>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</si>
  <si>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</si>
  <si>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</si>
  <si>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</si>
  <si>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</si>
  <si>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</si>
  <si>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</si>
  <si>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</si>
  <si>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</si>
  <si>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</si>
  <si>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</si>
  <si>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</si>
  <si>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</si>
  <si>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</si>
  <si>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</si>
  <si>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</si>
  <si>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</si>
  <si>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</si>
  <si>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</si>
  <si>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</si>
  <si>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</si>
  <si>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</si>
  <si>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</si>
  <si>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</si>
  <si>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</si>
  <si>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</si>
  <si>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</si>
  <si>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</si>
  <si>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</si>
  <si>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</si>
  <si>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</si>
  <si>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</si>
  <si>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</si>
  <si>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</si>
  <si>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</si>
  <si>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</si>
  <si>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</si>
  <si>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</si>
  <si>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</si>
  <si>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</si>
  <si>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</si>
  <si>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</si>
  <si>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</si>
  <si>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</si>
  <si>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</si>
  <si>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</si>
  <si>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</si>
  <si>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</si>
  <si>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</si>
  <si>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</si>
  <si>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</si>
  <si>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</si>
  <si>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</si>
  <si>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</si>
  <si>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</si>
  <si>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</si>
  <si>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</si>
  <si>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</si>
  <si>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</si>
  <si>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</si>
  <si>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</si>
  <si>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</si>
  <si>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</si>
  <si>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</si>
  <si>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</si>
  <si>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</si>
  <si>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</si>
  <si>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</si>
  <si>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</si>
  <si>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</si>
  <si>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</si>
  <si>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</si>
  <si>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</si>
  <si>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</si>
  <si>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</si>
  <si>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</si>
  <si>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</si>
  <si>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</si>
  <si>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</si>
  <si>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</si>
  <si>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</si>
  <si>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</si>
  <si>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</si>
  <si>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</si>
  <si>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</si>
  <si>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</si>
  <si>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</si>
  <si>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</si>
  <si>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</si>
  <si>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</si>
  <si>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</si>
  <si>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</si>
  <si>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</si>
  <si>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</si>
  <si>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</si>
  <si>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</si>
  <si>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</si>
  <si>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</si>
  <si>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</si>
  <si>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</si>
  <si>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</si>
  <si>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</si>
  <si>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</si>
  <si>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</si>
  <si>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</si>
  <si>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</si>
  <si>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</si>
  <si>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</si>
  <si>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</si>
  <si>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</si>
  <si>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</si>
  <si>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</si>
  <si>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</si>
  <si>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</si>
  <si>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</si>
  <si>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</si>
  <si>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</si>
  <si>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</si>
  <si>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</si>
  <si>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</si>
  <si>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</si>
  <si>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</si>
  <si>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</si>
  <si>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</si>
  <si>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</si>
  <si>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</si>
  <si>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</si>
  <si>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</si>
  <si>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</si>
  <si>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</si>
  <si>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</si>
  <si>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</si>
  <si>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</si>
  <si>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</si>
  <si>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</si>
  <si>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</si>
  <si>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</si>
  <si>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</si>
  <si>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</si>
  <si>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</si>
  <si>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</si>
  <si>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</si>
  <si>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</si>
  <si>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</si>
  <si>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</si>
  <si>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</si>
  <si>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</si>
  <si>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</si>
  <si>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</si>
  <si>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</si>
  <si>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</si>
  <si>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</si>
  <si>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</si>
  <si>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</si>
  <si>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</si>
  <si>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</si>
  <si>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</si>
  <si>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</si>
  <si>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</si>
  <si>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</si>
  <si>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</si>
  <si>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</si>
  <si>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</si>
  <si>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</si>
  <si>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</si>
  <si>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</si>
  <si>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</si>
  <si>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</si>
  <si>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</si>
  <si>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</si>
  <si>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</si>
  <si>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</si>
  <si>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</si>
  <si>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</si>
  <si>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</si>
  <si>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</si>
  <si>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</si>
  <si>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</si>
  <si>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</si>
  <si>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</si>
  <si>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</si>
  <si>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</si>
  <si>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</si>
  <si>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</si>
  <si>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</si>
  <si>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</si>
  <si>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</si>
  <si>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</si>
  <si>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</si>
  <si>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</si>
  <si>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</si>
  <si>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</si>
  <si>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</si>
  <si>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</si>
  <si>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</si>
  <si>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</si>
  <si>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</si>
  <si>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</si>
  <si>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</si>
  <si>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</si>
  <si>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</si>
  <si>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</si>
  <si>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</si>
  <si>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</si>
  <si>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</si>
  <si>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</si>
  <si>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</si>
  <si>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</si>
  <si>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</si>
  <si>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</si>
  <si>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</si>
  <si>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</si>
  <si>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</si>
  <si>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</si>
  <si>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</si>
  <si>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</si>
  <si>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</si>
  <si>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</si>
  <si>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</si>
  <si>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</si>
  <si>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</si>
  <si>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</si>
  <si>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</si>
  <si>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</si>
  <si>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</si>
  <si>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</si>
  <si>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</si>
  <si>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</si>
  <si>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</si>
  <si>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</si>
  <si>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</si>
  <si>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</si>
  <si>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</si>
  <si>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</si>
  <si>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</si>
  <si>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</si>
  <si>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</si>
  <si>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</si>
  <si>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</si>
  <si>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</si>
  <si>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</si>
  <si>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</si>
  <si>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</si>
  <si>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</si>
  <si>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</si>
  <si>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</si>
  <si>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</si>
  <si>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</si>
  <si>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</si>
  <si>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</si>
  <si>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</si>
  <si>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</si>
  <si>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</si>
  <si>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</si>
  <si>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</si>
  <si>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</si>
  <si>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</si>
  <si>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</si>
  <si>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</si>
  <si>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</si>
  <si>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</si>
  <si>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</si>
  <si>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</si>
  <si>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</si>
  <si>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</si>
  <si>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</si>
  <si>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</si>
  <si>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</si>
  <si>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</si>
  <si>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</si>
  <si>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</si>
  <si>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</si>
  <si>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</si>
  <si>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</si>
  <si>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</si>
  <si>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</si>
  <si>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</si>
  <si>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</si>
  <si>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</si>
  <si>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</si>
  <si>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</si>
  <si>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</si>
  <si>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</si>
  <si>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</si>
  <si>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</si>
  <si>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</si>
  <si>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</si>
  <si>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</si>
  <si>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</si>
  <si>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</si>
  <si>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</si>
  <si>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</si>
  <si>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</si>
  <si>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</si>
  <si>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</si>
  <si>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</si>
  <si>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</si>
  <si>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</si>
  <si>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</si>
  <si>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</si>
  <si>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</si>
  <si>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</si>
  <si>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</si>
  <si>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</si>
  <si>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</si>
  <si>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</si>
  <si>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</si>
  <si>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</si>
  <si>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</si>
  <si>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</si>
  <si>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</si>
  <si>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</si>
  <si>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</si>
  <si>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</si>
  <si>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</si>
  <si>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</si>
  <si>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</si>
  <si>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</si>
  <si>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</si>
  <si>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</si>
  <si>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</si>
  <si>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</si>
  <si>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</si>
  <si>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</si>
  <si>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</si>
  <si>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</si>
  <si>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</si>
  <si>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</si>
  <si>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</si>
  <si>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</si>
  <si>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</si>
  <si>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</si>
  <si>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</si>
  <si>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</si>
  <si>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</si>
  <si>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</si>
  <si>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</si>
  <si>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</si>
  <si>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</si>
  <si>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</si>
  <si>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</si>
  <si>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</si>
  <si>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</si>
  <si>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</si>
  <si>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</si>
  <si>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</si>
  <si>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</si>
  <si>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</si>
  <si>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</si>
  <si>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</si>
  <si>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</si>
  <si>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</si>
  <si>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</si>
  <si>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</si>
  <si>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</si>
  <si>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</si>
  <si>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</si>
  <si>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</si>
  <si>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</si>
  <si>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</si>
  <si>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</si>
  <si>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</si>
  <si>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</si>
  <si>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</si>
  <si>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</si>
  <si>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</si>
  <si>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</si>
  <si>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</si>
  <si>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</si>
  <si>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</si>
  <si>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</si>
  <si>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</si>
  <si>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</si>
  <si>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</si>
  <si>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</si>
  <si>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</si>
  <si>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</si>
  <si>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</si>
  <si>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</si>
  <si>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</si>
  <si>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</si>
  <si>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</si>
  <si>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</si>
  <si>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</si>
  <si>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</si>
  <si>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</si>
  <si>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</si>
  <si>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</si>
  <si>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</si>
  <si>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</si>
  <si>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</si>
  <si>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</si>
  <si>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</si>
  <si>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</si>
  <si>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</si>
  <si>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</si>
  <si>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</si>
  <si>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</si>
  <si>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</si>
  <si>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</si>
  <si>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</si>
  <si>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</si>
  <si>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</si>
  <si>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</si>
  <si>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</si>
  <si>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</si>
  <si>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</si>
  <si>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</si>
  <si>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</si>
  <si>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</si>
  <si>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</si>
  <si>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</si>
  <si>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</si>
  <si>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</si>
  <si>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</si>
  <si>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</si>
  <si>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</si>
  <si>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</si>
  <si>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</si>
  <si>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</si>
  <si>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</si>
  <si>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</si>
  <si>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</si>
  <si>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</si>
  <si>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</si>
  <si>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</si>
  <si>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</si>
  <si>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</si>
  <si>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</si>
  <si>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</si>
  <si>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</si>
  <si>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</si>
  <si>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</si>
  <si>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</si>
  <si>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</si>
  <si>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</si>
  <si>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</si>
  <si>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</si>
  <si>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</si>
  <si>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</si>
  <si>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</si>
  <si>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</si>
  <si>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</si>
  <si>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</si>
  <si>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</si>
  <si>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</si>
  <si>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</si>
  <si>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</si>
  <si>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</si>
  <si>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</si>
  <si>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</si>
  <si>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</si>
  <si>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</si>
  <si>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</si>
  <si>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</si>
  <si>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</si>
  <si>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</si>
  <si>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BETHLEHEM SCHOOL DISTRICT</t>
  </si>
  <si>
    <t>Release from encumbrance 1/31/1 of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</si>
</sst>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53</v>
      </c>
      <c r="C2" s="21">
        <v>53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96223+11280.65</f>
        <v>107503.65</v>
      </c>
      <c r="G9" s="18">
        <v>0</v>
      </c>
      <c r="H9" s="18">
        <v>0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177741.94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42598.82</f>
        <v>42598.82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405.37</v>
      </c>
      <c r="G13" s="18">
        <v>6881.68</v>
      </c>
      <c r="H13" s="18">
        <v>34410.17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281.89999999999998</v>
      </c>
      <c r="G14" s="18">
        <v>5557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f>17219.95+48965</f>
        <v>66184.95</v>
      </c>
      <c r="G17" s="18"/>
      <c r="H17" s="18">
        <v>2080.1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216974.69</v>
      </c>
      <c r="G19" s="41">
        <f>SUM(G9:G18)</f>
        <v>12438.68</v>
      </c>
      <c r="H19" s="41">
        <f>SUM(H9:H18)</f>
        <v>36490.269999999997</v>
      </c>
      <c r="I19" s="41">
        <f>SUM(I9:I18)</f>
        <v>0</v>
      </c>
      <c r="J19" s="41">
        <f>SUM(J9:J18)</f>
        <v>177741.94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f>9094.03+154.17</f>
        <v>9248.2000000000007</v>
      </c>
      <c r="H22" s="18">
        <v>33350.620000000003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14224.83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2604.98</v>
      </c>
      <c r="G24" s="18"/>
      <c r="H24" s="18">
        <v>3139.65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0">
        <v>1942.65</v>
      </c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1247.83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16829.810000000001</v>
      </c>
      <c r="G32" s="41">
        <f>SUM(G22:G31)</f>
        <v>12438.68</v>
      </c>
      <c r="H32" s="41">
        <f>SUM(H22:H31)</f>
        <v>36490.270000000004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f>17219.95+48965</f>
        <v>66184.95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f>60245.65-48965</f>
        <v>11280.650000000001</v>
      </c>
      <c r="G48" s="18"/>
      <c r="H48" s="18"/>
      <c r="I48" s="18"/>
      <c r="J48" s="13">
        <f>SUM(I459)</f>
        <v>177741.94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18342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79337.279999999999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200144.88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177741.94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216974.69</v>
      </c>
      <c r="G52" s="41">
        <f>G51+G32</f>
        <v>12438.68</v>
      </c>
      <c r="H52" s="41">
        <f>H51+H32</f>
        <v>36490.270000000004</v>
      </c>
      <c r="I52" s="41">
        <f>I51+I32</f>
        <v>0</v>
      </c>
      <c r="J52" s="41">
        <f>J51+J32</f>
        <v>177741.94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2465518-F118</f>
        <v>2205295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2205295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670.89</v>
      </c>
      <c r="G96" s="18"/>
      <c r="H96" s="18"/>
      <c r="I96" s="18"/>
      <c r="J96" s="18">
        <v>2685.55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19030.23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61600.94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1500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3902.59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67674.42</v>
      </c>
      <c r="G111" s="41">
        <f>SUM(G96:G110)</f>
        <v>19030.23</v>
      </c>
      <c r="H111" s="41">
        <f>SUM(H96:H110)</f>
        <v>0</v>
      </c>
      <c r="I111" s="41">
        <f>SUM(I96:I110)</f>
        <v>0</v>
      </c>
      <c r="J111" s="41">
        <f>SUM(J96:J110)</f>
        <v>2685.55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2272969.42</v>
      </c>
      <c r="G112" s="41">
        <f>G60+G111</f>
        <v>19030.23</v>
      </c>
      <c r="H112" s="41">
        <f>H60+H79+H94+H111</f>
        <v>0</v>
      </c>
      <c r="I112" s="41">
        <f>I60+I111</f>
        <v>0</v>
      </c>
      <c r="J112" s="41">
        <f>J60+J111</f>
        <v>2685.55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616156.26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260223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4403.59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880782.85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3106.22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938.04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3106.22</v>
      </c>
      <c r="G136" s="41">
        <f>SUM(G123:G135)</f>
        <v>938.04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883889.07</v>
      </c>
      <c r="G140" s="41">
        <f>G121+SUM(G136:G137)</f>
        <v>938.04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86342.75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14696.65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32133.18+7053.23</f>
        <v>39186.410000000003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58321.74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46289.279999999999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14891.91</v>
      </c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46289.279999999999</v>
      </c>
      <c r="G162" s="41">
        <f>SUM(G150:G161)</f>
        <v>39186.410000000003</v>
      </c>
      <c r="H162" s="41">
        <f>SUM(H150:H161)</f>
        <v>174253.05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14910.59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61199.869999999995</v>
      </c>
      <c r="G169" s="41">
        <f>G147+G162+SUM(G163:G168)</f>
        <v>39186.410000000003</v>
      </c>
      <c r="H169" s="41">
        <f>H147+H162+SUM(H163:H168)</f>
        <v>174253.05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9787.7199999999993</v>
      </c>
      <c r="H179" s="18"/>
      <c r="I179" s="18"/>
      <c r="J179" s="18">
        <v>35000</v>
      </c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9787.7199999999993</v>
      </c>
      <c r="H183" s="41">
        <f>SUM(H179:H182)</f>
        <v>0</v>
      </c>
      <c r="I183" s="41">
        <f>SUM(I179:I182)</f>
        <v>0</v>
      </c>
      <c r="J183" s="41">
        <f>SUM(J179:J182)</f>
        <v>35000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83500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83500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83500</v>
      </c>
      <c r="G192" s="41">
        <f>G183+SUM(G188:G191)</f>
        <v>9787.7199999999993</v>
      </c>
      <c r="H192" s="41">
        <f>+H183+SUM(H188:H191)</f>
        <v>0</v>
      </c>
      <c r="I192" s="41">
        <f>I177+I183+SUM(I188:I191)</f>
        <v>0</v>
      </c>
      <c r="J192" s="41">
        <f>J183</f>
        <v>35000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3301558.36</v>
      </c>
      <c r="G193" s="47">
        <f>G112+G140+G169+G192</f>
        <v>68942.400000000009</v>
      </c>
      <c r="H193" s="47">
        <f>H112+H140+H169+H192</f>
        <v>174253.05</v>
      </c>
      <c r="I193" s="47">
        <f>I112+I140+I169+I192</f>
        <v>0</v>
      </c>
      <c r="J193" s="47">
        <f>J112+J140+J192</f>
        <v>37685.550000000003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879099.91</v>
      </c>
      <c r="G197" s="18">
        <v>404792.24</v>
      </c>
      <c r="H197" s="18">
        <v>6925.78</v>
      </c>
      <c r="I197" s="18">
        <v>12469.65</v>
      </c>
      <c r="J197" s="18">
        <v>2811.88</v>
      </c>
      <c r="K197" s="18"/>
      <c r="L197" s="19">
        <f>SUM(F197:K197)</f>
        <v>1306099.4599999997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345093.99</v>
      </c>
      <c r="G198" s="18">
        <v>127513.39</v>
      </c>
      <c r="H198" s="18">
        <v>56703.43</v>
      </c>
      <c r="I198" s="18">
        <v>1101.3800000000001</v>
      </c>
      <c r="J198" s="18">
        <v>1442.3</v>
      </c>
      <c r="K198" s="18"/>
      <c r="L198" s="19">
        <f>SUM(F198:K198)</f>
        <v>531854.49000000011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103287</v>
      </c>
      <c r="G202" s="18">
        <v>44225.18</v>
      </c>
      <c r="H202" s="18">
        <v>115697.32</v>
      </c>
      <c r="I202" s="18">
        <v>932.97</v>
      </c>
      <c r="J202" s="18"/>
      <c r="K202" s="18"/>
      <c r="L202" s="19">
        <f t="shared" ref="L202:L208" si="0">SUM(F202:K202)</f>
        <v>264142.46999999997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6679.89</v>
      </c>
      <c r="G203" s="18">
        <v>556.67999999999995</v>
      </c>
      <c r="H203" s="18">
        <v>8934.6200000000008</v>
      </c>
      <c r="I203" s="18">
        <v>5984.79</v>
      </c>
      <c r="J203" s="18">
        <v>4782.3500000000004</v>
      </c>
      <c r="K203" s="18">
        <v>9807.4599999999991</v>
      </c>
      <c r="L203" s="19">
        <f t="shared" si="0"/>
        <v>36745.79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3975</v>
      </c>
      <c r="G204" s="18">
        <v>363.91</v>
      </c>
      <c r="H204" s="18">
        <v>136657.5</v>
      </c>
      <c r="I204" s="18"/>
      <c r="J204" s="18"/>
      <c r="K204" s="18">
        <v>14495.31</v>
      </c>
      <c r="L204" s="19">
        <f t="shared" si="0"/>
        <v>155491.72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143649.74</v>
      </c>
      <c r="G205" s="18">
        <v>77175.210000000006</v>
      </c>
      <c r="H205" s="18">
        <v>21548.34</v>
      </c>
      <c r="I205" s="18">
        <v>29064.35</v>
      </c>
      <c r="J205" s="18">
        <v>1090.8499999999999</v>
      </c>
      <c r="K205" s="18"/>
      <c r="L205" s="19">
        <f t="shared" si="0"/>
        <v>272528.49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42090.720000000001</v>
      </c>
      <c r="G207" s="18">
        <v>15362.73</v>
      </c>
      <c r="H207" s="18">
        <v>184916.71</v>
      </c>
      <c r="I207" s="18">
        <v>50868.77</v>
      </c>
      <c r="J207" s="18">
        <v>19649.82</v>
      </c>
      <c r="K207" s="18"/>
      <c r="L207" s="19">
        <f t="shared" si="0"/>
        <v>312888.75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178917.64-27637</f>
        <v>151280.64000000001</v>
      </c>
      <c r="I208" s="18"/>
      <c r="J208" s="18">
        <v>27637</v>
      </c>
      <c r="K208" s="18"/>
      <c r="L208" s="19">
        <f t="shared" si="0"/>
        <v>178917.64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1523876.2499999998</v>
      </c>
      <c r="G211" s="41">
        <f t="shared" si="1"/>
        <v>669989.34000000008</v>
      </c>
      <c r="H211" s="41">
        <f t="shared" si="1"/>
        <v>682664.34000000008</v>
      </c>
      <c r="I211" s="41">
        <f t="shared" si="1"/>
        <v>100421.91</v>
      </c>
      <c r="J211" s="41">
        <f t="shared" si="1"/>
        <v>57414.2</v>
      </c>
      <c r="K211" s="41">
        <f t="shared" si="1"/>
        <v>24302.769999999997</v>
      </c>
      <c r="L211" s="41">
        <f t="shared" si="1"/>
        <v>3058668.81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1523876.2499999998</v>
      </c>
      <c r="G257" s="41">
        <f t="shared" si="8"/>
        <v>669989.34000000008</v>
      </c>
      <c r="H257" s="41">
        <f t="shared" si="8"/>
        <v>682664.34000000008</v>
      </c>
      <c r="I257" s="41">
        <f t="shared" si="8"/>
        <v>100421.91</v>
      </c>
      <c r="J257" s="41">
        <f t="shared" si="8"/>
        <v>57414.2</v>
      </c>
      <c r="K257" s="41">
        <f t="shared" si="8"/>
        <v>24302.769999999997</v>
      </c>
      <c r="L257" s="41">
        <f t="shared" si="8"/>
        <v>3058668.81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f>8745.43+1042.29</f>
        <v>9787.7200000000012</v>
      </c>
      <c r="L263" s="19">
        <f>SUM(F263:K263)</f>
        <v>9787.7200000000012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35000</v>
      </c>
      <c r="L266" s="19">
        <f t="shared" si="9"/>
        <v>35000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44787.72</v>
      </c>
      <c r="L270" s="41">
        <f t="shared" si="9"/>
        <v>44787.72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1523876.2499999998</v>
      </c>
      <c r="G271" s="42">
        <f t="shared" si="11"/>
        <v>669989.34000000008</v>
      </c>
      <c r="H271" s="42">
        <f t="shared" si="11"/>
        <v>682664.34000000008</v>
      </c>
      <c r="I271" s="42">
        <f t="shared" si="11"/>
        <v>100421.91</v>
      </c>
      <c r="J271" s="42">
        <f t="shared" si="11"/>
        <v>57414.2</v>
      </c>
      <c r="K271" s="42">
        <f t="shared" si="11"/>
        <v>69090.489999999991</v>
      </c>
      <c r="L271" s="42">
        <f t="shared" si="11"/>
        <v>3103456.5300000003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53488.5</v>
      </c>
      <c r="G276" s="18">
        <v>26273.64</v>
      </c>
      <c r="H276" s="18">
        <v>1000</v>
      </c>
      <c r="I276" s="18">
        <v>4674.1400000000003</v>
      </c>
      <c r="J276" s="18">
        <v>2000</v>
      </c>
      <c r="K276" s="18">
        <v>798</v>
      </c>
      <c r="L276" s="19">
        <f>SUM(F276:K276)</f>
        <v>88234.28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40465.800000000003</v>
      </c>
      <c r="G277" s="18">
        <v>7697.46</v>
      </c>
      <c r="H277" s="18">
        <v>6860.6</v>
      </c>
      <c r="I277" s="18">
        <v>2454.08</v>
      </c>
      <c r="J277" s="18"/>
      <c r="K277" s="18"/>
      <c r="L277" s="19">
        <f>SUM(F277:K277)</f>
        <v>57477.94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8587.5</v>
      </c>
      <c r="G282" s="18">
        <v>2078.2199999999998</v>
      </c>
      <c r="H282" s="18">
        <v>14543.9</v>
      </c>
      <c r="I282" s="18"/>
      <c r="J282" s="18"/>
      <c r="K282" s="18">
        <v>3331.21</v>
      </c>
      <c r="L282" s="19">
        <f t="shared" si="12"/>
        <v>28540.829999999998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102541.8</v>
      </c>
      <c r="G290" s="42">
        <f t="shared" si="13"/>
        <v>36049.32</v>
      </c>
      <c r="H290" s="42">
        <f t="shared" si="13"/>
        <v>22404.5</v>
      </c>
      <c r="I290" s="42">
        <f t="shared" si="13"/>
        <v>7128.22</v>
      </c>
      <c r="J290" s="42">
        <f t="shared" si="13"/>
        <v>2000</v>
      </c>
      <c r="K290" s="42">
        <f t="shared" si="13"/>
        <v>4129.21</v>
      </c>
      <c r="L290" s="41">
        <f t="shared" si="13"/>
        <v>174253.05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102541.8</v>
      </c>
      <c r="G338" s="41">
        <f t="shared" si="20"/>
        <v>36049.32</v>
      </c>
      <c r="H338" s="41">
        <f t="shared" si="20"/>
        <v>22404.5</v>
      </c>
      <c r="I338" s="41">
        <f t="shared" si="20"/>
        <v>7128.22</v>
      </c>
      <c r="J338" s="41">
        <f t="shared" si="20"/>
        <v>2000</v>
      </c>
      <c r="K338" s="41">
        <f t="shared" si="20"/>
        <v>4129.21</v>
      </c>
      <c r="L338" s="41">
        <f t="shared" si="20"/>
        <v>174253.05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102541.8</v>
      </c>
      <c r="G352" s="41">
        <f>G338</f>
        <v>36049.32</v>
      </c>
      <c r="H352" s="41">
        <f>H338</f>
        <v>22404.5</v>
      </c>
      <c r="I352" s="41">
        <f>I338</f>
        <v>7128.22</v>
      </c>
      <c r="J352" s="41">
        <f>J338</f>
        <v>2000</v>
      </c>
      <c r="K352" s="47">
        <f>K338+K351</f>
        <v>4129.21</v>
      </c>
      <c r="L352" s="41">
        <f>L338+L351</f>
        <v>174253.05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68942.399999999994</v>
      </c>
      <c r="I358" s="18"/>
      <c r="J358" s="18"/>
      <c r="K358" s="18"/>
      <c r="L358" s="13">
        <f>SUM(F358:K358)</f>
        <v>68942.399999999994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68942.399999999994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68942.399999999994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35000</v>
      </c>
      <c r="H396" s="18">
        <v>715.47</v>
      </c>
      <c r="I396" s="18"/>
      <c r="J396" s="24" t="s">
        <v>286</v>
      </c>
      <c r="K396" s="24" t="s">
        <v>286</v>
      </c>
      <c r="L396" s="56">
        <f t="shared" si="26"/>
        <v>35715.47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1764.56</v>
      </c>
      <c r="I397" s="18"/>
      <c r="J397" s="24" t="s">
        <v>286</v>
      </c>
      <c r="K397" s="24" t="s">
        <v>286</v>
      </c>
      <c r="L397" s="56">
        <f t="shared" si="26"/>
        <v>1764.56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205.52</v>
      </c>
      <c r="I399" s="18"/>
      <c r="J399" s="24" t="s">
        <v>286</v>
      </c>
      <c r="K399" s="24" t="s">
        <v>286</v>
      </c>
      <c r="L399" s="56">
        <f t="shared" si="26"/>
        <v>205.52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35000</v>
      </c>
      <c r="H401" s="47">
        <f>SUM(H395:H400)</f>
        <v>2685.5499999999997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37685.549999999996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35000</v>
      </c>
      <c r="H408" s="47">
        <f>H393+H401+H407</f>
        <v>2685.5499999999997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37685.549999999996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83500</v>
      </c>
      <c r="L422" s="56">
        <f t="shared" si="29"/>
        <v>83500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83500</v>
      </c>
      <c r="L427" s="47">
        <f t="shared" si="30"/>
        <v>83500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83500</v>
      </c>
      <c r="L434" s="47">
        <f t="shared" si="32"/>
        <v>83500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177741.94</v>
      </c>
      <c r="G440" s="18"/>
      <c r="H440" s="18"/>
      <c r="I440" s="56">
        <f t="shared" si="33"/>
        <v>177741.94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177741.94</v>
      </c>
      <c r="G446" s="13">
        <f>SUM(G439:G445)</f>
        <v>0</v>
      </c>
      <c r="H446" s="13">
        <f>SUM(H439:H445)</f>
        <v>0</v>
      </c>
      <c r="I446" s="13">
        <f>SUM(I439:I445)</f>
        <v>177741.94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F440</f>
        <v>177741.94</v>
      </c>
      <c r="G459" s="18"/>
      <c r="H459" s="18"/>
      <c r="I459" s="56">
        <f t="shared" si="34"/>
        <v>177741.94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177741.94</v>
      </c>
      <c r="G460" s="83">
        <f>SUM(G454:G459)</f>
        <v>0</v>
      </c>
      <c r="H460" s="83">
        <f>SUM(H454:H459)</f>
        <v>0</v>
      </c>
      <c r="I460" s="83">
        <f>SUM(I454:I459)</f>
        <v>177741.94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177741.94</v>
      </c>
      <c r="G461" s="42">
        <f>G452+G460</f>
        <v>0</v>
      </c>
      <c r="H461" s="42">
        <f>H452+H460</f>
        <v>0</v>
      </c>
      <c r="I461" s="42">
        <f>I452+I460</f>
        <v>177741.94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-2956.94</v>
      </c>
      <c r="G465" s="18">
        <v>0</v>
      </c>
      <c r="H465" s="18">
        <v>0</v>
      </c>
      <c r="I465" s="18">
        <v>0</v>
      </c>
      <c r="J465" s="18">
        <v>223556.39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3301558.36</f>
        <v>3301558.36</v>
      </c>
      <c r="G468" s="18">
        <f>68942.4</f>
        <v>68942.399999999994</v>
      </c>
      <c r="H468" s="18">
        <v>174253.05</v>
      </c>
      <c r="I468" s="18">
        <v>0</v>
      </c>
      <c r="J468" s="18">
        <f>35000+2685.55</f>
        <v>37685.550000000003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4999.99</v>
      </c>
      <c r="G469" s="18"/>
      <c r="H469" s="18"/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3306558.35</v>
      </c>
      <c r="G470" s="53">
        <f>SUM(G468:G469)</f>
        <v>68942.399999999994</v>
      </c>
      <c r="H470" s="53">
        <f>SUM(H468:H469)</f>
        <v>174253.05</v>
      </c>
      <c r="I470" s="53">
        <f>SUM(I468:I469)</f>
        <v>0</v>
      </c>
      <c r="J470" s="53">
        <f>SUM(J468:J469)</f>
        <v>37685.550000000003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3103456.53</f>
        <v>3103456.53</v>
      </c>
      <c r="G472" s="18">
        <v>68942.399999999994</v>
      </c>
      <c r="H472" s="18">
        <v>174253.05</v>
      </c>
      <c r="I472" s="18">
        <v>0</v>
      </c>
      <c r="J472" s="18">
        <v>83500</v>
      </c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3103456.53</v>
      </c>
      <c r="G474" s="53">
        <f>SUM(G472:G473)</f>
        <v>68942.399999999994</v>
      </c>
      <c r="H474" s="53">
        <f>SUM(H472:H473)</f>
        <v>174253.05</v>
      </c>
      <c r="I474" s="53">
        <f>SUM(I472:I473)</f>
        <v>0</v>
      </c>
      <c r="J474" s="53">
        <f>SUM(J472:J473)</f>
        <v>83500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200144.88000000035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177741.94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74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22740</v>
      </c>
      <c r="G512" s="24" t="s">
        <v>286</v>
      </c>
      <c r="H512" s="18">
        <v>115705.3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466182.04</v>
      </c>
      <c r="G513" s="24" t="s">
        <v>286</v>
      </c>
      <c r="H513" s="18">
        <v>496149.04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89714</v>
      </c>
      <c r="G514" s="24" t="s">
        <v>286</v>
      </c>
      <c r="H514" s="18">
        <v>117351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>
        <v>0</v>
      </c>
      <c r="G515" s="24" t="s">
        <v>286</v>
      </c>
      <c r="H515" s="18">
        <v>48965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>
        <v>-295534</v>
      </c>
      <c r="H516" s="24" t="s">
        <v>286</v>
      </c>
      <c r="I516" s="18">
        <v>-316860.96000000002</v>
      </c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578636.04</v>
      </c>
      <c r="G517" s="42">
        <f>SUM(G511:G516)</f>
        <v>-295534</v>
      </c>
      <c r="H517" s="42">
        <f>SUM(H511:H516)</f>
        <v>778170.34</v>
      </c>
      <c r="I517" s="42">
        <f>SUM(I511:I516)</f>
        <v>-316860.96000000002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353153.39</v>
      </c>
      <c r="G521" s="18">
        <v>123540.71</v>
      </c>
      <c r="H521" s="18">
        <v>63564.03</v>
      </c>
      <c r="I521" s="18">
        <v>3055.46</v>
      </c>
      <c r="J521" s="18">
        <v>1442.3</v>
      </c>
      <c r="K521" s="18">
        <v>0</v>
      </c>
      <c r="L521" s="88">
        <f>SUM(F521:K521)</f>
        <v>544755.89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353153.39</v>
      </c>
      <c r="G524" s="108">
        <f t="shared" ref="G524:L524" si="36">SUM(G521:G523)</f>
        <v>123540.71</v>
      </c>
      <c r="H524" s="108">
        <f t="shared" si="36"/>
        <v>63564.03</v>
      </c>
      <c r="I524" s="108">
        <f t="shared" si="36"/>
        <v>3055.46</v>
      </c>
      <c r="J524" s="108">
        <f t="shared" si="36"/>
        <v>1442.3</v>
      </c>
      <c r="K524" s="108">
        <f t="shared" si="36"/>
        <v>0</v>
      </c>
      <c r="L524" s="89">
        <f t="shared" si="36"/>
        <v>544755.89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115395.07</v>
      </c>
      <c r="I526" s="18"/>
      <c r="J526" s="18"/>
      <c r="K526" s="18"/>
      <c r="L526" s="88">
        <f>SUM(F526:K526)</f>
        <v>115395.07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115395.07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115395.07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1362.66</v>
      </c>
      <c r="I541" s="18"/>
      <c r="J541" s="18"/>
      <c r="K541" s="18"/>
      <c r="L541" s="88">
        <f>SUM(F541:K541)</f>
        <v>1362.66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1362.66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1362.66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353153.39</v>
      </c>
      <c r="G545" s="89">
        <f t="shared" ref="G545:L545" si="41">G524+G529+G534+G539+G544</f>
        <v>123540.71</v>
      </c>
      <c r="H545" s="89">
        <f t="shared" si="41"/>
        <v>180321.76</v>
      </c>
      <c r="I545" s="89">
        <f t="shared" si="41"/>
        <v>3055.46</v>
      </c>
      <c r="J545" s="89">
        <f t="shared" si="41"/>
        <v>1442.3</v>
      </c>
      <c r="K545" s="89">
        <f t="shared" si="41"/>
        <v>0</v>
      </c>
      <c r="L545" s="89">
        <f t="shared" si="41"/>
        <v>661513.62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544755.89</v>
      </c>
      <c r="G549" s="87">
        <f>L526</f>
        <v>115395.07</v>
      </c>
      <c r="H549" s="87">
        <f>L531</f>
        <v>0</v>
      </c>
      <c r="I549" s="87">
        <f>L536</f>
        <v>0</v>
      </c>
      <c r="J549" s="87">
        <f>L541</f>
        <v>1362.66</v>
      </c>
      <c r="K549" s="87">
        <f>SUM(F549:J549)</f>
        <v>661513.62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544755.89</v>
      </c>
      <c r="G552" s="89">
        <f t="shared" si="42"/>
        <v>115395.07</v>
      </c>
      <c r="H552" s="89">
        <f t="shared" si="42"/>
        <v>0</v>
      </c>
      <c r="I552" s="89">
        <f t="shared" si="42"/>
        <v>0</v>
      </c>
      <c r="J552" s="89">
        <f t="shared" si="42"/>
        <v>1362.66</v>
      </c>
      <c r="K552" s="89">
        <f t="shared" si="42"/>
        <v>661513.62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32406.400000000001</v>
      </c>
      <c r="G567" s="18">
        <v>11670.14</v>
      </c>
      <c r="H567" s="18"/>
      <c r="I567" s="18">
        <v>500</v>
      </c>
      <c r="J567" s="18"/>
      <c r="K567" s="18"/>
      <c r="L567" s="88">
        <f>SUM(F567:K567)</f>
        <v>44576.54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32406.400000000001</v>
      </c>
      <c r="G570" s="193">
        <f t="shared" ref="G570:L570" si="45">SUM(G567:G569)</f>
        <v>11670.14</v>
      </c>
      <c r="H570" s="193">
        <f t="shared" si="45"/>
        <v>0</v>
      </c>
      <c r="I570" s="193">
        <f t="shared" si="45"/>
        <v>500</v>
      </c>
      <c r="J570" s="193">
        <f t="shared" si="45"/>
        <v>0</v>
      </c>
      <c r="K570" s="193">
        <f t="shared" si="45"/>
        <v>0</v>
      </c>
      <c r="L570" s="193">
        <f t="shared" si="45"/>
        <v>44576.54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32406.400000000001</v>
      </c>
      <c r="G571" s="89">
        <f t="shared" ref="G571:L571" si="46">G560+G565+G570</f>
        <v>11670.14</v>
      </c>
      <c r="H571" s="89">
        <f t="shared" si="46"/>
        <v>0</v>
      </c>
      <c r="I571" s="89">
        <f t="shared" si="46"/>
        <v>500</v>
      </c>
      <c r="J571" s="89">
        <f t="shared" si="46"/>
        <v>0</v>
      </c>
      <c r="K571" s="89">
        <f t="shared" si="46"/>
        <v>0</v>
      </c>
      <c r="L571" s="89">
        <f t="shared" si="46"/>
        <v>44576.54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143264.98000000001</v>
      </c>
      <c r="I591" s="18"/>
      <c r="J591" s="18"/>
      <c r="K591" s="104">
        <f t="shared" ref="K591:K597" si="48">SUM(H591:J591)</f>
        <v>143264.98000000001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1362.66</v>
      </c>
      <c r="I592" s="18"/>
      <c r="J592" s="18"/>
      <c r="K592" s="104">
        <f t="shared" si="48"/>
        <v>1362.66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6653</v>
      </c>
      <c r="I595" s="18"/>
      <c r="J595" s="18"/>
      <c r="K595" s="104">
        <f t="shared" si="48"/>
        <v>6653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27637</v>
      </c>
      <c r="I597" s="18"/>
      <c r="J597" s="18"/>
      <c r="K597" s="104">
        <f t="shared" si="48"/>
        <v>27637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178917.64</v>
      </c>
      <c r="I598" s="108">
        <f>SUM(I591:I597)</f>
        <v>0</v>
      </c>
      <c r="J598" s="108">
        <f>SUM(J591:J597)</f>
        <v>0</v>
      </c>
      <c r="K598" s="108">
        <f>SUM(K591:K597)</f>
        <v>178917.64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59414.2</v>
      </c>
      <c r="I604" s="18"/>
      <c r="J604" s="18"/>
      <c r="K604" s="104">
        <f>SUM(H604:J604)</f>
        <v>59414.2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59414.2</v>
      </c>
      <c r="I605" s="108">
        <f>SUM(I602:I604)</f>
        <v>0</v>
      </c>
      <c r="J605" s="108">
        <f>SUM(J602:J604)</f>
        <v>0</v>
      </c>
      <c r="K605" s="108">
        <f>SUM(K602:K604)</f>
        <v>59414.2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15150.25</v>
      </c>
      <c r="G611" s="18">
        <v>3937.66</v>
      </c>
      <c r="H611" s="18"/>
      <c r="I611" s="18"/>
      <c r="J611" s="18"/>
      <c r="K611" s="18"/>
      <c r="L611" s="88">
        <f>SUM(F611:K611)</f>
        <v>19087.91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15150.25</v>
      </c>
      <c r="G614" s="108">
        <f t="shared" si="49"/>
        <v>3937.66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19087.91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216974.69</v>
      </c>
      <c r="H617" s="109">
        <f>SUM(F52)</f>
        <v>216974.69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12438.68</v>
      </c>
      <c r="H618" s="109">
        <f>SUM(G52)</f>
        <v>12438.68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36490.269999999997</v>
      </c>
      <c r="H619" s="109">
        <f>SUM(H52)</f>
        <v>36490.270000000004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177741.94</v>
      </c>
      <c r="H621" s="109">
        <f>SUM(J52)</f>
        <v>177741.94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200144.88</v>
      </c>
      <c r="H622" s="109">
        <f>F476</f>
        <v>200144.88000000035</v>
      </c>
      <c r="I622" s="121" t="s">
        <v>101</v>
      </c>
      <c r="J622" s="109">
        <f t="shared" ref="J622:J655" si="50">G622-H622</f>
        <v>-3.4924596548080444E-10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177741.94</v>
      </c>
      <c r="H626" s="109">
        <f>J476</f>
        <v>177741.94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3301558.36</v>
      </c>
      <c r="H627" s="104">
        <f>SUM(F468)</f>
        <v>3301558.36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68942.400000000009</v>
      </c>
      <c r="H628" s="104">
        <f>SUM(G468)</f>
        <v>68942.399999999994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174253.05</v>
      </c>
      <c r="H629" s="104">
        <f>SUM(H468)</f>
        <v>174253.05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37685.550000000003</v>
      </c>
      <c r="H631" s="104">
        <f>SUM(J468)</f>
        <v>37685.550000000003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3103456.5300000003</v>
      </c>
      <c r="H632" s="104">
        <f>SUM(F472)</f>
        <v>3103456.53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174253.05</v>
      </c>
      <c r="H633" s="104">
        <f>SUM(H472)</f>
        <v>174253.05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68942.399999999994</v>
      </c>
      <c r="H635" s="104">
        <f>SUM(G472)</f>
        <v>68942.399999999994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37685.549999999996</v>
      </c>
      <c r="H637" s="164">
        <f>SUM(J468)</f>
        <v>37685.550000000003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83500</v>
      </c>
      <c r="H638" s="164">
        <f>SUM(J472)</f>
        <v>83500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177741.94</v>
      </c>
      <c r="H639" s="104">
        <f>SUM(F461)</f>
        <v>177741.94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177741.94</v>
      </c>
      <c r="H642" s="104">
        <f>SUM(I461)</f>
        <v>177741.94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2685.55</v>
      </c>
      <c r="H644" s="104">
        <f>H408</f>
        <v>2685.5499999999997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35000</v>
      </c>
      <c r="H645" s="104">
        <f>G408</f>
        <v>35000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37685.550000000003</v>
      </c>
      <c r="H646" s="104">
        <f>L408</f>
        <v>37685.549999999996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178917.64</v>
      </c>
      <c r="H647" s="104">
        <f>L208+L226+L244</f>
        <v>178917.64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59414.2</v>
      </c>
      <c r="H648" s="104">
        <f>(J257+J338)-(J255+J336)</f>
        <v>59414.2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178917.64</v>
      </c>
      <c r="H649" s="104">
        <f>H598</f>
        <v>178917.64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9787.7199999999993</v>
      </c>
      <c r="H652" s="104">
        <f>K263+K345</f>
        <v>9787.7200000000012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35000</v>
      </c>
      <c r="H655" s="104">
        <f>K266+K347</f>
        <v>35000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3301864.26</v>
      </c>
      <c r="G660" s="19">
        <f>(L229+L309+L359)</f>
        <v>0</v>
      </c>
      <c r="H660" s="19">
        <f>(L247+L328+L360)</f>
        <v>0</v>
      </c>
      <c r="I660" s="19">
        <f>SUM(F660:H660)</f>
        <v>3301864.26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19030.23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19030.23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151280.64000000001</v>
      </c>
      <c r="G662" s="19">
        <f>(L226+L306)-(J226+J306)</f>
        <v>0</v>
      </c>
      <c r="H662" s="19">
        <f>(L244+L325)-(J244+J325)</f>
        <v>0</v>
      </c>
      <c r="I662" s="19">
        <f>SUM(F662:H662)</f>
        <v>151280.64000000001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78502.11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78502.11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3053051.28</v>
      </c>
      <c r="G664" s="19">
        <f>G660-SUM(G661:G663)</f>
        <v>0</v>
      </c>
      <c r="H664" s="19">
        <f>H660-SUM(H661:H663)</f>
        <v>0</v>
      </c>
      <c r="I664" s="19">
        <f>I660-SUM(I661:I663)</f>
        <v>3053051.28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150.19</v>
      </c>
      <c r="G665" s="248">
        <v>0</v>
      </c>
      <c r="H665" s="248">
        <v>0</v>
      </c>
      <c r="I665" s="19">
        <f>SUM(F665:H665)</f>
        <v>150.19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20327.93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20327.93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20327.93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20327.93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1496062992126" right="0.31496062992126" top="0.43307086614173201" bottom="0.55118110236220497" header="0.31496062992126" footer="0.31496062992126"/>
  <pageSetup scale="80" fitToHeight="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L393" sqref="L39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BETHLEHEM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6" t="s">
        <v>778</v>
      </c>
      <c r="B3" s="276"/>
      <c r="C3" s="276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777</v>
      </c>
      <c r="C6" s="275"/>
    </row>
    <row r="7" spans="1:3" x14ac:dyDescent="0.2">
      <c r="A7" s="239" t="s">
        <v>780</v>
      </c>
      <c r="B7" s="273" t="s">
        <v>776</v>
      </c>
      <c r="C7" s="274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932588.41</v>
      </c>
      <c r="C9" s="229">
        <f>'DOE25'!G197+'DOE25'!G215+'DOE25'!G233+'DOE25'!G276+'DOE25'!G295+'DOE25'!G314</f>
        <v>431065.88</v>
      </c>
    </row>
    <row r="10" spans="1:3" x14ac:dyDescent="0.2">
      <c r="A10" t="s">
        <v>773</v>
      </c>
      <c r="B10" s="240">
        <v>893566.12</v>
      </c>
      <c r="C10" s="240">
        <f>428079.57+1.1</f>
        <v>428080.67</v>
      </c>
    </row>
    <row r="11" spans="1:3" x14ac:dyDescent="0.2">
      <c r="A11" t="s">
        <v>774</v>
      </c>
      <c r="B11" s="240">
        <v>1000</v>
      </c>
      <c r="C11" s="240">
        <v>76.5</v>
      </c>
    </row>
    <row r="12" spans="1:3" x14ac:dyDescent="0.2">
      <c r="A12" t="s">
        <v>775</v>
      </c>
      <c r="B12" s="240">
        <v>38022.29</v>
      </c>
      <c r="C12" s="240">
        <v>2908.71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932588.41</v>
      </c>
      <c r="C13" s="231">
        <f>SUM(C10:C12)</f>
        <v>431065.88</v>
      </c>
    </row>
    <row r="14" spans="1:3" x14ac:dyDescent="0.2">
      <c r="B14" s="230"/>
      <c r="C14" s="230"/>
    </row>
    <row r="15" spans="1:3" x14ac:dyDescent="0.2">
      <c r="B15" s="275" t="s">
        <v>777</v>
      </c>
      <c r="C15" s="275"/>
    </row>
    <row r="16" spans="1:3" x14ac:dyDescent="0.2">
      <c r="A16" s="239" t="s">
        <v>781</v>
      </c>
      <c r="B16" s="273" t="s">
        <v>701</v>
      </c>
      <c r="C16" s="274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385559.79</v>
      </c>
      <c r="C18" s="229">
        <f>'DOE25'!G198+'DOE25'!G216+'DOE25'!G234+'DOE25'!G277+'DOE25'!G296+'DOE25'!G315</f>
        <v>135210.85</v>
      </c>
    </row>
    <row r="19" spans="1:3" x14ac:dyDescent="0.2">
      <c r="A19" t="s">
        <v>773</v>
      </c>
      <c r="B19" s="240">
        <v>200677.07</v>
      </c>
      <c r="C19" s="240">
        <v>70309.649999999994</v>
      </c>
    </row>
    <row r="20" spans="1:3" x14ac:dyDescent="0.2">
      <c r="A20" t="s">
        <v>774</v>
      </c>
      <c r="B20" s="240">
        <v>184882.72</v>
      </c>
      <c r="C20" s="240">
        <v>64901.2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385559.79000000004</v>
      </c>
      <c r="C22" s="231">
        <f>SUM(C19:C21)</f>
        <v>135210.84999999998</v>
      </c>
    </row>
    <row r="23" spans="1:3" x14ac:dyDescent="0.2">
      <c r="B23" s="230"/>
      <c r="C23" s="230"/>
    </row>
    <row r="24" spans="1:3" x14ac:dyDescent="0.2">
      <c r="B24" s="275" t="s">
        <v>777</v>
      </c>
      <c r="C24" s="275"/>
    </row>
    <row r="25" spans="1:3" x14ac:dyDescent="0.2">
      <c r="A25" s="239" t="s">
        <v>782</v>
      </c>
      <c r="B25" s="273" t="s">
        <v>702</v>
      </c>
      <c r="C25" s="274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777</v>
      </c>
      <c r="C33" s="275"/>
    </row>
    <row r="34" spans="1:3" x14ac:dyDescent="0.2">
      <c r="A34" s="239" t="s">
        <v>783</v>
      </c>
      <c r="B34" s="273" t="s">
        <v>703</v>
      </c>
      <c r="C34" s="274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L393" sqref="L393"/>
      <selection pane="bottomLeft" activeCell="L393" sqref="L39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711</v>
      </c>
      <c r="B2" s="265" t="str">
        <f>'DOE25'!A2</f>
        <v>BETHLEHEM SCHOOL DISTRICT</v>
      </c>
      <c r="C2" s="181"/>
      <c r="D2" s="181" t="s">
        <v>786</v>
      </c>
      <c r="E2" s="181" t="s">
        <v>788</v>
      </c>
      <c r="F2" s="277" t="s">
        <v>815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1837953.9499999997</v>
      </c>
      <c r="D5" s="20">
        <f>SUM('DOE25'!L197:L200)+SUM('DOE25'!L215:L218)+SUM('DOE25'!L233:L236)-F5-G5</f>
        <v>1833699.7699999998</v>
      </c>
      <c r="E5" s="243"/>
      <c r="F5" s="255">
        <f>SUM('DOE25'!J197:J200)+SUM('DOE25'!J215:J218)+SUM('DOE25'!J233:J236)</f>
        <v>4254.18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264142.46999999997</v>
      </c>
      <c r="D6" s="20">
        <f>'DOE25'!L202+'DOE25'!L220+'DOE25'!L238-F6-G6</f>
        <v>264142.46999999997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36745.79</v>
      </c>
      <c r="D7" s="20">
        <f>'DOE25'!L203+'DOE25'!L221+'DOE25'!L239-F7-G7</f>
        <v>22155.980000000003</v>
      </c>
      <c r="E7" s="243"/>
      <c r="F7" s="255">
        <f>'DOE25'!J203+'DOE25'!J221+'DOE25'!J239</f>
        <v>4782.3500000000004</v>
      </c>
      <c r="G7" s="53">
        <f>'DOE25'!K203+'DOE25'!K221+'DOE25'!K239</f>
        <v>9807.4599999999991</v>
      </c>
      <c r="H7" s="259"/>
    </row>
    <row r="8" spans="1:9" x14ac:dyDescent="0.2">
      <c r="A8" s="32">
        <v>2300</v>
      </c>
      <c r="B8" t="s">
        <v>796</v>
      </c>
      <c r="C8" s="245">
        <f t="shared" si="0"/>
        <v>80184.98000000001</v>
      </c>
      <c r="D8" s="243"/>
      <c r="E8" s="20">
        <f>'DOE25'!L204+'DOE25'!L222+'DOE25'!L240-F8-G8-D9-D11</f>
        <v>65689.670000000013</v>
      </c>
      <c r="F8" s="255">
        <f>'DOE25'!J204+'DOE25'!J222+'DOE25'!J240</f>
        <v>0</v>
      </c>
      <c r="G8" s="53">
        <f>'DOE25'!K204+'DOE25'!K222+'DOE25'!K240</f>
        <v>14495.31</v>
      </c>
      <c r="H8" s="259"/>
    </row>
    <row r="9" spans="1:9" x14ac:dyDescent="0.2">
      <c r="A9" s="32">
        <v>2310</v>
      </c>
      <c r="B9" t="s">
        <v>812</v>
      </c>
      <c r="C9" s="245">
        <f t="shared" si="0"/>
        <v>38673.72</v>
      </c>
      <c r="D9" s="244">
        <v>38673.72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7501</v>
      </c>
      <c r="D10" s="243"/>
      <c r="E10" s="244">
        <v>7501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36633.019999999997</v>
      </c>
      <c r="D11" s="244">
        <v>36633.019999999997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272528.49</v>
      </c>
      <c r="D12" s="20">
        <f>'DOE25'!L205+'DOE25'!L223+'DOE25'!L241-F12-G12</f>
        <v>271437.64</v>
      </c>
      <c r="E12" s="243"/>
      <c r="F12" s="255">
        <f>'DOE25'!J205+'DOE25'!J223+'DOE25'!J241</f>
        <v>1090.8499999999999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312888.75</v>
      </c>
      <c r="D14" s="20">
        <f>'DOE25'!L207+'DOE25'!L225+'DOE25'!L243-F14-G14</f>
        <v>293238.93</v>
      </c>
      <c r="E14" s="243"/>
      <c r="F14" s="255">
        <f>'DOE25'!J207+'DOE25'!J225+'DOE25'!J243</f>
        <v>19649.82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178917.64</v>
      </c>
      <c r="D15" s="20">
        <f>'DOE25'!L208+'DOE25'!L226+'DOE25'!L244-F15-G15</f>
        <v>151280.64000000001</v>
      </c>
      <c r="E15" s="243"/>
      <c r="F15" s="255">
        <f>'DOE25'!J208+'DOE25'!J226+'DOE25'!J244</f>
        <v>27637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68942.399999999994</v>
      </c>
      <c r="D29" s="20">
        <f>'DOE25'!L358+'DOE25'!L359+'DOE25'!L360-'DOE25'!I367-F29-G29</f>
        <v>68942.399999999994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174253.05</v>
      </c>
      <c r="D31" s="20">
        <f>'DOE25'!L290+'DOE25'!L309+'DOE25'!L328+'DOE25'!L333+'DOE25'!L334+'DOE25'!L335-F31-G31</f>
        <v>168123.84</v>
      </c>
      <c r="E31" s="243"/>
      <c r="F31" s="255">
        <f>'DOE25'!J290+'DOE25'!J309+'DOE25'!J328+'DOE25'!J333+'DOE25'!J334+'DOE25'!J335</f>
        <v>2000</v>
      </c>
      <c r="G31" s="53">
        <f>'DOE25'!K290+'DOE25'!K309+'DOE25'!K328+'DOE25'!K333+'DOE25'!K334+'DOE25'!K335</f>
        <v>4129.21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3148328.41</v>
      </c>
      <c r="E33" s="246">
        <f>SUM(E5:E31)</f>
        <v>73190.670000000013</v>
      </c>
      <c r="F33" s="246">
        <f>SUM(F5:F31)</f>
        <v>59414.2</v>
      </c>
      <c r="G33" s="246">
        <f>SUM(G5:G31)</f>
        <v>28431.979999999996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73190.670000000013</v>
      </c>
      <c r="E35" s="249"/>
    </row>
    <row r="36" spans="2:8" ht="12" thickTop="1" x14ac:dyDescent="0.2">
      <c r="B36" t="s">
        <v>809</v>
      </c>
      <c r="D36" s="20">
        <f>D33</f>
        <v>3148328.41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3" activePane="bottomLeft" state="frozen"/>
      <selection activeCell="L393" sqref="L393"/>
      <selection pane="bottomLeft" activeCell="L393" sqref="L39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BETHLEHEM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107503.65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177741.94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42598.82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405.37</v>
      </c>
      <c r="D12" s="95">
        <f>'DOE25'!G13</f>
        <v>6881.68</v>
      </c>
      <c r="E12" s="95">
        <f>'DOE25'!H13</f>
        <v>34410.17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281.89999999999998</v>
      </c>
      <c r="D13" s="95">
        <f>'DOE25'!G14</f>
        <v>5557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66184.95</v>
      </c>
      <c r="D16" s="95">
        <f>'DOE25'!G17</f>
        <v>0</v>
      </c>
      <c r="E16" s="95">
        <f>'DOE25'!H17</f>
        <v>2080.1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216974.69</v>
      </c>
      <c r="D18" s="41">
        <f>SUM(D8:D17)</f>
        <v>12438.68</v>
      </c>
      <c r="E18" s="41">
        <f>SUM(E8:E17)</f>
        <v>36490.269999999997</v>
      </c>
      <c r="F18" s="41">
        <f>SUM(F8:F17)</f>
        <v>0</v>
      </c>
      <c r="G18" s="41">
        <f>SUM(G8:G17)</f>
        <v>177741.94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9248.2000000000007</v>
      </c>
      <c r="E21" s="95">
        <f>'DOE25'!H22</f>
        <v>33350.620000000003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14224.83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2604.98</v>
      </c>
      <c r="D23" s="95">
        <f>'DOE25'!G24</f>
        <v>0</v>
      </c>
      <c r="E23" s="95">
        <f>'DOE25'!H24</f>
        <v>3139.65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1942.65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1247.83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16829.810000000001</v>
      </c>
      <c r="D31" s="41">
        <f>SUM(D21:D30)</f>
        <v>12438.68</v>
      </c>
      <c r="E31" s="41">
        <f>SUM(E21:E30)</f>
        <v>36490.270000000004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66184.95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11280.650000000001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177741.94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18342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79337.279999999999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200144.88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177741.94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216974.69</v>
      </c>
      <c r="D51" s="41">
        <f>D50+D31</f>
        <v>12438.68</v>
      </c>
      <c r="E51" s="41">
        <f>E50+E31</f>
        <v>36490.270000000004</v>
      </c>
      <c r="F51" s="41">
        <f>F50+F31</f>
        <v>0</v>
      </c>
      <c r="G51" s="41">
        <f>G50+G31</f>
        <v>177741.94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2205295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670.89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2685.55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19030.23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67003.53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67674.42</v>
      </c>
      <c r="D62" s="130">
        <f>SUM(D57:D61)</f>
        <v>19030.23</v>
      </c>
      <c r="E62" s="130">
        <f>SUM(E57:E61)</f>
        <v>0</v>
      </c>
      <c r="F62" s="130">
        <f>SUM(F57:F61)</f>
        <v>0</v>
      </c>
      <c r="G62" s="130">
        <f>SUM(G57:G61)</f>
        <v>2685.55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2272969.42</v>
      </c>
      <c r="D63" s="22">
        <f>D56+D62</f>
        <v>19030.23</v>
      </c>
      <c r="E63" s="22">
        <f>E56+E62</f>
        <v>0</v>
      </c>
      <c r="F63" s="22">
        <f>F56+F62</f>
        <v>0</v>
      </c>
      <c r="G63" s="22">
        <f>G56+G62</f>
        <v>2685.55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616156.26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260223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4403.59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880782.85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3106.22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938.04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3106.22</v>
      </c>
      <c r="D78" s="130">
        <f>SUM(D72:D77)</f>
        <v>938.04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883889.07</v>
      </c>
      <c r="D81" s="130">
        <f>SUM(D79:D80)+D78+D70</f>
        <v>938.04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46289.279999999999</v>
      </c>
      <c r="D88" s="95">
        <f>SUM('DOE25'!G153:G161)</f>
        <v>39186.410000000003</v>
      </c>
      <c r="E88" s="95">
        <f>SUM('DOE25'!H153:H161)</f>
        <v>174253.05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14910.59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61199.869999999995</v>
      </c>
      <c r="D91" s="131">
        <f>SUM(D85:D90)</f>
        <v>39186.410000000003</v>
      </c>
      <c r="E91" s="131">
        <f>SUM(E85:E90)</f>
        <v>174253.05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9787.7199999999993</v>
      </c>
      <c r="E96" s="95">
        <f>'DOE25'!H179</f>
        <v>0</v>
      </c>
      <c r="F96" s="95">
        <f>'DOE25'!I179</f>
        <v>0</v>
      </c>
      <c r="G96" s="95">
        <f>'DOE25'!J179</f>
        <v>35000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83500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83500</v>
      </c>
      <c r="D103" s="86">
        <f>SUM(D93:D102)</f>
        <v>9787.7199999999993</v>
      </c>
      <c r="E103" s="86">
        <f>SUM(E93:E102)</f>
        <v>0</v>
      </c>
      <c r="F103" s="86">
        <f>SUM(F93:F102)</f>
        <v>0</v>
      </c>
      <c r="G103" s="86">
        <f>SUM(G93:G102)</f>
        <v>35000</v>
      </c>
    </row>
    <row r="104" spans="1:7" ht="12.75" thickTop="1" thickBot="1" x14ac:dyDescent="0.25">
      <c r="A104" s="33" t="s">
        <v>759</v>
      </c>
      <c r="C104" s="86">
        <f>C63+C81+C91+C103</f>
        <v>3301558.36</v>
      </c>
      <c r="D104" s="86">
        <f>D63+D81+D91+D103</f>
        <v>68942.400000000009</v>
      </c>
      <c r="E104" s="86">
        <f>E63+E81+E91+E103</f>
        <v>174253.05</v>
      </c>
      <c r="F104" s="86">
        <f>F63+F81+F91+F103</f>
        <v>0</v>
      </c>
      <c r="G104" s="86">
        <f>G63+G81+G103</f>
        <v>37685.550000000003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1306099.4599999997</v>
      </c>
      <c r="D109" s="24" t="s">
        <v>286</v>
      </c>
      <c r="E109" s="95">
        <f>('DOE25'!L276)+('DOE25'!L295)+('DOE25'!L314)</f>
        <v>88234.28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531854.49000000011</v>
      </c>
      <c r="D110" s="24" t="s">
        <v>286</v>
      </c>
      <c r="E110" s="95">
        <f>('DOE25'!L277)+('DOE25'!L296)+('DOE25'!L315)</f>
        <v>57477.94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1837953.9499999997</v>
      </c>
      <c r="D115" s="86">
        <f>SUM(D109:D114)</f>
        <v>0</v>
      </c>
      <c r="E115" s="86">
        <f>SUM(E109:E114)</f>
        <v>145712.22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264142.46999999997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36745.79</v>
      </c>
      <c r="D119" s="24" t="s">
        <v>286</v>
      </c>
      <c r="E119" s="95">
        <f>+('DOE25'!L282)+('DOE25'!L301)+('DOE25'!L320)</f>
        <v>28540.829999999998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155491.72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272528.49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312888.75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178917.64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68942.399999999994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1220714.8599999999</v>
      </c>
      <c r="D128" s="86">
        <f>SUM(D118:D127)</f>
        <v>68942.399999999994</v>
      </c>
      <c r="E128" s="86">
        <f>SUM(E118:E127)</f>
        <v>28540.829999999998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83500</v>
      </c>
    </row>
    <row r="135" spans="1:7" x14ac:dyDescent="0.2">
      <c r="A135" t="s">
        <v>233</v>
      </c>
      <c r="B135" s="32" t="s">
        <v>234</v>
      </c>
      <c r="C135" s="95">
        <f>'DOE25'!L263</f>
        <v>9787.7200000000012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37685.549999999996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-2685.5499999999956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44787.72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83500</v>
      </c>
    </row>
    <row r="145" spans="1:9" ht="12.75" thickTop="1" thickBot="1" x14ac:dyDescent="0.25">
      <c r="A145" s="33" t="s">
        <v>244</v>
      </c>
      <c r="C145" s="86">
        <f>(C115+C128+C144)</f>
        <v>3103456.53</v>
      </c>
      <c r="D145" s="86">
        <f>(D115+D128+D144)</f>
        <v>68942.399999999994</v>
      </c>
      <c r="E145" s="86">
        <f>(E115+E128+E144)</f>
        <v>174253.05</v>
      </c>
      <c r="F145" s="86">
        <f>(F115+F128+F144)</f>
        <v>0</v>
      </c>
      <c r="G145" s="86">
        <f>(G115+G128+G144)</f>
        <v>83500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L393" sqref="L39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7" t="s">
        <v>711</v>
      </c>
      <c r="B2" s="186" t="str">
        <f>'DOE25'!A2</f>
        <v>BETHLEHEM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20328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20328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1394334</v>
      </c>
      <c r="D10" s="182">
        <f>ROUND((C10/$C$28)*100,1)</f>
        <v>42.5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589332</v>
      </c>
      <c r="D11" s="182">
        <f>ROUND((C11/$C$28)*100,1)</f>
        <v>18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264142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65287</v>
      </c>
      <c r="D16" s="182">
        <f t="shared" si="0"/>
        <v>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155492</v>
      </c>
      <c r="D17" s="182">
        <f t="shared" si="0"/>
        <v>4.7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272528</v>
      </c>
      <c r="D18" s="182">
        <f t="shared" si="0"/>
        <v>8.3000000000000007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312889</v>
      </c>
      <c r="D20" s="182">
        <f t="shared" si="0"/>
        <v>9.5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178918</v>
      </c>
      <c r="D21" s="182">
        <f t="shared" si="0"/>
        <v>5.5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49911.770000000004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3282833.77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3282833.77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2205295</v>
      </c>
      <c r="D35" s="182">
        <f t="shared" ref="D35:D40" si="1">ROUND((C35/$C$41)*100,1)</f>
        <v>64.2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70359.969999999739</v>
      </c>
      <c r="D36" s="182">
        <f t="shared" si="1"/>
        <v>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876379</v>
      </c>
      <c r="D37" s="182">
        <f t="shared" si="1"/>
        <v>25.5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8448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274639</v>
      </c>
      <c r="D39" s="182">
        <f t="shared" si="1"/>
        <v>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3435120.9699999997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L393" sqref="L393"/>
      <selection pane="bottomLeft" activeCell="L393" sqref="L39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8" t="s">
        <v>761</v>
      </c>
      <c r="B2" s="299"/>
      <c r="C2" s="299"/>
      <c r="D2" s="299"/>
      <c r="E2" s="299"/>
      <c r="F2" s="294" t="str">
        <f>'DOE25'!A2</f>
        <v>BETHLEHEM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842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97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HP40:HZ40"/>
    <mergeCell ref="GC39:GM39"/>
    <mergeCell ref="BP39:BZ39"/>
    <mergeCell ref="CC39:CM39"/>
    <mergeCell ref="CP39:CZ39"/>
    <mergeCell ref="P39:Z39"/>
    <mergeCell ref="DP39:DZ39"/>
    <mergeCell ref="EC40:EM40"/>
    <mergeCell ref="C41:M41"/>
    <mergeCell ref="C39:M39"/>
    <mergeCell ref="C40:M40"/>
    <mergeCell ref="BP40:BZ40"/>
    <mergeCell ref="CC40:CM40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43:M43"/>
    <mergeCell ref="BC40:BM40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FP38:FZ38"/>
    <mergeCell ref="IC38:IM38"/>
    <mergeCell ref="AC39:AM39"/>
    <mergeCell ref="IP38:IV38"/>
    <mergeCell ref="CP38:CZ38"/>
    <mergeCell ref="BC38:BM38"/>
    <mergeCell ref="BP38:BZ38"/>
    <mergeCell ref="CC38:CM38"/>
    <mergeCell ref="AP39:AZ39"/>
    <mergeCell ref="HC39:HM39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HP32:HZ32"/>
    <mergeCell ref="IC32:IM32"/>
    <mergeCell ref="IP32:IV32"/>
    <mergeCell ref="EP38:EZ38"/>
    <mergeCell ref="FC38:FM38"/>
    <mergeCell ref="HC32:HM32"/>
    <mergeCell ref="HP31:HZ31"/>
    <mergeCell ref="GP32:GZ32"/>
    <mergeCell ref="IC31:IM31"/>
    <mergeCell ref="IP31:IV31"/>
    <mergeCell ref="EP32:EZ32"/>
    <mergeCell ref="FC32:FM32"/>
    <mergeCell ref="FP32:FZ32"/>
    <mergeCell ref="GC32:GM32"/>
    <mergeCell ref="DC38:DM38"/>
    <mergeCell ref="DP38:DZ38"/>
    <mergeCell ref="EC38:EM38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CP32:CZ32"/>
    <mergeCell ref="DC31:DM31"/>
    <mergeCell ref="DP31:DZ31"/>
    <mergeCell ref="EC31:EM31"/>
    <mergeCell ref="DP32:DZ32"/>
    <mergeCell ref="EC32:EM32"/>
    <mergeCell ref="EC39:EM39"/>
    <mergeCell ref="C38:M38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29:DZ29"/>
    <mergeCell ref="DP30:DZ30"/>
    <mergeCell ref="BC31:BM31"/>
    <mergeCell ref="BC32:BM32"/>
    <mergeCell ref="EC30:EM30"/>
    <mergeCell ref="EP30:EZ30"/>
    <mergeCell ref="A1:I1"/>
    <mergeCell ref="C3:M3"/>
    <mergeCell ref="C4:M4"/>
    <mergeCell ref="F2:I2"/>
    <mergeCell ref="C33:M33"/>
    <mergeCell ref="C37:M37"/>
    <mergeCell ref="P32:Z32"/>
    <mergeCell ref="AC32:AM32"/>
    <mergeCell ref="C34:M34"/>
    <mergeCell ref="C32:M32"/>
    <mergeCell ref="C35:M35"/>
    <mergeCell ref="C36:M36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C14:M14"/>
    <mergeCell ref="C15:M15"/>
    <mergeCell ref="C16:M16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C30:CM30"/>
    <mergeCell ref="BC30:BM30"/>
    <mergeCell ref="BP30:BZ30"/>
    <mergeCell ref="DC30:DM30"/>
    <mergeCell ref="C21:M21"/>
    <mergeCell ref="C22:M22"/>
    <mergeCell ref="C23:M23"/>
    <mergeCell ref="C24:M24"/>
    <mergeCell ref="C29:M29"/>
    <mergeCell ref="C25:M25"/>
    <mergeCell ref="C26:M26"/>
    <mergeCell ref="C27:M27"/>
    <mergeCell ref="P29:Z29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2018-09-12T16:27:08Z</cp:lastPrinted>
  <dcterms:created xsi:type="dcterms:W3CDTF">1997-12-04T19:04:30Z</dcterms:created>
  <dcterms:modified xsi:type="dcterms:W3CDTF">2018-11-13T19:28:04Z</dcterms:modified>
</cp:coreProperties>
</file>