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36" i="1" l="1"/>
  <c r="F68" i="1"/>
  <c r="C10" i="12"/>
  <c r="B10" i="12"/>
  <c r="C12" i="12"/>
  <c r="B12" i="12"/>
  <c r="C11" i="12"/>
  <c r="B11" i="12"/>
  <c r="C20" i="12"/>
  <c r="B20" i="12"/>
  <c r="C19" i="12"/>
  <c r="B19" i="12"/>
  <c r="C21" i="12"/>
  <c r="B21" i="12"/>
  <c r="C37" i="12"/>
  <c r="B37" i="12"/>
  <c r="H243" i="1"/>
  <c r="F110" i="1"/>
  <c r="H236" i="1"/>
  <c r="F50" i="1"/>
  <c r="F22" i="1"/>
  <c r="F9" i="1"/>
  <c r="F12" i="1"/>
  <c r="G97" i="1"/>
  <c r="F440" i="1"/>
  <c r="H389" i="1"/>
  <c r="K523" i="1"/>
  <c r="J523" i="1"/>
  <c r="I523" i="1"/>
  <c r="H523" i="1"/>
  <c r="G523" i="1"/>
  <c r="F523" i="1"/>
  <c r="K522" i="1"/>
  <c r="J522" i="1"/>
  <c r="I522" i="1"/>
  <c r="H522" i="1"/>
  <c r="G522" i="1"/>
  <c r="F522" i="1"/>
  <c r="K521" i="1"/>
  <c r="J521" i="1"/>
  <c r="I521" i="1"/>
  <c r="H521" i="1"/>
  <c r="G521" i="1"/>
  <c r="F521" i="1"/>
  <c r="H528" i="1"/>
  <c r="H527" i="1"/>
  <c r="H526" i="1"/>
  <c r="J528" i="1"/>
  <c r="J527" i="1"/>
  <c r="J526" i="1"/>
  <c r="I528" i="1"/>
  <c r="I527" i="1"/>
  <c r="I526" i="1"/>
  <c r="G528" i="1"/>
  <c r="G527" i="1"/>
  <c r="G526" i="1"/>
  <c r="F528" i="1"/>
  <c r="F527" i="1"/>
  <c r="F526" i="1"/>
  <c r="J567" i="1"/>
  <c r="I568" i="1"/>
  <c r="I567" i="1"/>
  <c r="J604" i="1"/>
  <c r="I604" i="1"/>
  <c r="H604" i="1"/>
  <c r="F499" i="1"/>
  <c r="F498" i="1"/>
  <c r="J203" i="1"/>
  <c r="K204" i="1"/>
  <c r="F17" i="1"/>
  <c r="F29" i="1"/>
  <c r="J179" i="1"/>
  <c r="H422" i="1"/>
  <c r="G440" i="1"/>
  <c r="I239" i="1"/>
  <c r="I595" i="1"/>
  <c r="J594" i="1"/>
  <c r="H595" i="1"/>
  <c r="J595" i="1"/>
  <c r="G244" i="1"/>
  <c r="G226" i="1"/>
  <c r="G208" i="1"/>
  <c r="J244" i="1"/>
  <c r="J226" i="1"/>
  <c r="J208" i="1"/>
  <c r="I244" i="1"/>
  <c r="I226" i="1"/>
  <c r="I208" i="1"/>
  <c r="H244" i="1"/>
  <c r="H226" i="1"/>
  <c r="H208" i="1"/>
  <c r="F244" i="1"/>
  <c r="F226" i="1"/>
  <c r="F208" i="1"/>
  <c r="K244" i="1"/>
  <c r="K226" i="1"/>
  <c r="K208" i="1"/>
  <c r="J243" i="1"/>
  <c r="I243" i="1"/>
  <c r="G243" i="1"/>
  <c r="F243" i="1"/>
  <c r="J225" i="1"/>
  <c r="I225" i="1"/>
  <c r="H225" i="1"/>
  <c r="G225" i="1"/>
  <c r="F225" i="1"/>
  <c r="J207" i="1"/>
  <c r="I207" i="1"/>
  <c r="H207" i="1"/>
  <c r="G207" i="1"/>
  <c r="F207" i="1"/>
  <c r="F241" i="1"/>
  <c r="G205" i="1"/>
  <c r="K241" i="1"/>
  <c r="K223" i="1"/>
  <c r="K205" i="1"/>
  <c r="J205" i="1"/>
  <c r="J241" i="1"/>
  <c r="I241" i="1"/>
  <c r="I223" i="1"/>
  <c r="H241" i="1"/>
  <c r="H223" i="1"/>
  <c r="H205" i="1"/>
  <c r="F223" i="1"/>
  <c r="F205" i="1"/>
  <c r="K240" i="1"/>
  <c r="I240" i="1"/>
  <c r="H240" i="1"/>
  <c r="G240" i="1"/>
  <c r="F240" i="1"/>
  <c r="K222" i="1"/>
  <c r="I222" i="1"/>
  <c r="H222" i="1"/>
  <c r="G222" i="1"/>
  <c r="F222" i="1"/>
  <c r="H204" i="1"/>
  <c r="G204" i="1"/>
  <c r="F204" i="1"/>
  <c r="I204" i="1"/>
  <c r="G239" i="1"/>
  <c r="G221" i="1"/>
  <c r="G203" i="1"/>
  <c r="J239" i="1"/>
  <c r="J221" i="1"/>
  <c r="H239" i="1"/>
  <c r="H221" i="1"/>
  <c r="H203" i="1"/>
  <c r="F239" i="1"/>
  <c r="F221" i="1"/>
  <c r="F203" i="1"/>
  <c r="K239" i="1"/>
  <c r="I221" i="1"/>
  <c r="I203" i="1"/>
  <c r="G238" i="1"/>
  <c r="G220" i="1"/>
  <c r="G202" i="1"/>
  <c r="J238" i="1"/>
  <c r="J220" i="1"/>
  <c r="J202" i="1"/>
  <c r="I238" i="1"/>
  <c r="I220" i="1"/>
  <c r="I202" i="1"/>
  <c r="H238" i="1"/>
  <c r="H220" i="1"/>
  <c r="H202" i="1"/>
  <c r="F238" i="1"/>
  <c r="F220" i="1"/>
  <c r="F202" i="1"/>
  <c r="K238" i="1"/>
  <c r="K202" i="1"/>
  <c r="G236" i="1"/>
  <c r="F236" i="1"/>
  <c r="G218" i="1"/>
  <c r="F218" i="1"/>
  <c r="K236" i="1"/>
  <c r="J236" i="1"/>
  <c r="J218" i="1"/>
  <c r="I236" i="1"/>
  <c r="I218" i="1"/>
  <c r="I200" i="1"/>
  <c r="H218" i="1"/>
  <c r="G200" i="1"/>
  <c r="G233" i="1"/>
  <c r="G215" i="1"/>
  <c r="G197" i="1"/>
  <c r="K218" i="1"/>
  <c r="K200" i="1"/>
  <c r="F200" i="1"/>
  <c r="J593" i="1"/>
  <c r="G216" i="1"/>
  <c r="G198" i="1"/>
  <c r="J198" i="1"/>
  <c r="I216" i="1"/>
  <c r="I198" i="1"/>
  <c r="F216" i="1"/>
  <c r="F198" i="1"/>
  <c r="I234" i="1"/>
  <c r="H234" i="1"/>
  <c r="H216" i="1"/>
  <c r="H198" i="1"/>
  <c r="G234" i="1"/>
  <c r="K234" i="1"/>
  <c r="K216" i="1"/>
  <c r="K198" i="1"/>
  <c r="J234" i="1"/>
  <c r="J216" i="1"/>
  <c r="F234" i="1"/>
  <c r="I233" i="1"/>
  <c r="I215" i="1"/>
  <c r="I197" i="1"/>
  <c r="H233" i="1"/>
  <c r="H215" i="1"/>
  <c r="H197" i="1"/>
  <c r="K233" i="1"/>
  <c r="K215" i="1"/>
  <c r="J233" i="1"/>
  <c r="J215" i="1"/>
  <c r="J197" i="1"/>
  <c r="F233" i="1"/>
  <c r="F215" i="1"/>
  <c r="F197" i="1"/>
  <c r="F102" i="1"/>
  <c r="F120" i="1"/>
  <c r="F101" i="1"/>
  <c r="F63" i="1"/>
  <c r="F69" i="1"/>
  <c r="I472" i="1"/>
  <c r="I468" i="1"/>
  <c r="K277" i="1"/>
  <c r="K315" i="1"/>
  <c r="K296" i="1"/>
  <c r="H319" i="1"/>
  <c r="H300" i="1"/>
  <c r="H281" i="1"/>
  <c r="J315" i="1"/>
  <c r="J296" i="1"/>
  <c r="J277" i="1"/>
  <c r="I315" i="1"/>
  <c r="I296" i="1"/>
  <c r="I277" i="1"/>
  <c r="H315" i="1"/>
  <c r="H296" i="1"/>
  <c r="H277" i="1"/>
  <c r="G315" i="1"/>
  <c r="G296" i="1"/>
  <c r="G277" i="1"/>
  <c r="F277" i="1"/>
  <c r="F315" i="1"/>
  <c r="F296" i="1"/>
  <c r="K276" i="1"/>
  <c r="G276" i="1"/>
  <c r="F276" i="1"/>
  <c r="F314" i="1"/>
  <c r="F295" i="1"/>
  <c r="H468" i="1"/>
  <c r="H159" i="1"/>
  <c r="H155" i="1"/>
  <c r="H154" i="1"/>
  <c r="G472" i="1"/>
  <c r="H367" i="1"/>
  <c r="G367" i="1"/>
  <c r="F367" i="1"/>
  <c r="G132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D39" i="13"/>
  <c r="F13" i="13"/>
  <c r="G13" i="13"/>
  <c r="L206" i="1"/>
  <c r="L224" i="1"/>
  <c r="F16" i="13"/>
  <c r="G16" i="13"/>
  <c r="L209" i="1"/>
  <c r="L227" i="1"/>
  <c r="E16" i="13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F14" i="13"/>
  <c r="G14" i="13"/>
  <c r="L207" i="1"/>
  <c r="L225" i="1"/>
  <c r="F15" i="13"/>
  <c r="G15" i="13"/>
  <c r="L208" i="1"/>
  <c r="L226" i="1"/>
  <c r="G650" i="1"/>
  <c r="L244" i="1"/>
  <c r="H662" i="1"/>
  <c r="F17" i="13"/>
  <c r="G17" i="13"/>
  <c r="F18" i="13"/>
  <c r="G18" i="13"/>
  <c r="F19" i="13"/>
  <c r="G19" i="13"/>
  <c r="F29" i="13"/>
  <c r="G29" i="13"/>
  <c r="L358" i="1"/>
  <c r="L359" i="1"/>
  <c r="L360" i="1"/>
  <c r="H661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E120" i="2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/>
  <c r="L334" i="1"/>
  <c r="L335" i="1"/>
  <c r="L260" i="1"/>
  <c r="C131" i="2"/>
  <c r="L261" i="1"/>
  <c r="C25" i="10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/>
  <c r="C139" i="2"/>
  <c r="L398" i="1"/>
  <c r="L399" i="1"/>
  <c r="L400" i="1"/>
  <c r="L403" i="1"/>
  <c r="L404" i="1"/>
  <c r="L405" i="1"/>
  <c r="L406" i="1"/>
  <c r="L266" i="1"/>
  <c r="J60" i="1"/>
  <c r="G56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56" i="2"/>
  <c r="F79" i="1"/>
  <c r="C57" i="2"/>
  <c r="F94" i="1"/>
  <c r="F111" i="1"/>
  <c r="G111" i="1"/>
  <c r="H79" i="1"/>
  <c r="H94" i="1"/>
  <c r="H111" i="1"/>
  <c r="I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/>
  <c r="G147" i="1"/>
  <c r="G162" i="1"/>
  <c r="H147" i="1"/>
  <c r="H162" i="1"/>
  <c r="H169" i="1"/>
  <c r="I147" i="1"/>
  <c r="I162" i="1"/>
  <c r="L250" i="1"/>
  <c r="C113" i="2"/>
  <c r="L332" i="1"/>
  <c r="L254" i="1"/>
  <c r="L268" i="1"/>
  <c r="C142" i="2"/>
  <c r="L269" i="1"/>
  <c r="C143" i="2"/>
  <c r="L349" i="1"/>
  <c r="L350" i="1"/>
  <c r="E143" i="2"/>
  <c r="I665" i="1"/>
  <c r="I670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/>
  <c r="L345" i="1"/>
  <c r="L346" i="1"/>
  <c r="L347" i="1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/>
  <c r="G8" i="2"/>
  <c r="C9" i="2"/>
  <c r="D9" i="2"/>
  <c r="D18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G22" i="2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G36" i="2"/>
  <c r="I459" i="1"/>
  <c r="J48" i="1"/>
  <c r="G47" i="2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D81" i="2"/>
  <c r="E77" i="2"/>
  <c r="F77" i="2"/>
  <c r="G77" i="2"/>
  <c r="G78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3" i="2"/>
  <c r="D115" i="2"/>
  <c r="F115" i="2"/>
  <c r="G115" i="2"/>
  <c r="E119" i="2"/>
  <c r="E123" i="2"/>
  <c r="E124" i="2"/>
  <c r="F128" i="2"/>
  <c r="G128" i="2"/>
  <c r="C130" i="2"/>
  <c r="D134" i="2"/>
  <c r="D14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/>
  <c r="C156" i="2"/>
  <c r="D156" i="2"/>
  <c r="E156" i="2"/>
  <c r="F156" i="2"/>
  <c r="B157" i="2"/>
  <c r="C157" i="2"/>
  <c r="D157" i="2"/>
  <c r="E157" i="2"/>
  <c r="G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G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164" i="2"/>
  <c r="G503" i="1"/>
  <c r="C164" i="2"/>
  <c r="H503" i="1"/>
  <c r="D164" i="2"/>
  <c r="I503" i="1"/>
  <c r="E164" i="2"/>
  <c r="J503" i="1"/>
  <c r="F164" i="2"/>
  <c r="F19" i="1"/>
  <c r="G617" i="1"/>
  <c r="G19" i="1"/>
  <c r="G618" i="1"/>
  <c r="H19" i="1"/>
  <c r="G619" i="1"/>
  <c r="I19" i="1"/>
  <c r="G620" i="1"/>
  <c r="F32" i="1"/>
  <c r="F52" i="1"/>
  <c r="H617" i="1"/>
  <c r="G32" i="1"/>
  <c r="G52" i="1"/>
  <c r="H618" i="1"/>
  <c r="H32" i="1"/>
  <c r="I32" i="1"/>
  <c r="H51" i="1"/>
  <c r="G624" i="1"/>
  <c r="I51" i="1"/>
  <c r="I52" i="1"/>
  <c r="H620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J247" i="1"/>
  <c r="K247" i="1"/>
  <c r="F256" i="1"/>
  <c r="G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/>
  <c r="F362" i="1"/>
  <c r="G362" i="1"/>
  <c r="H362" i="1"/>
  <c r="I362" i="1"/>
  <c r="G634" i="1"/>
  <c r="J362" i="1"/>
  <c r="K362" i="1"/>
  <c r="I368" i="1"/>
  <c r="I369" i="1"/>
  <c r="H634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/>
  <c r="G446" i="1"/>
  <c r="G640" i="1"/>
  <c r="H446" i="1"/>
  <c r="G641" i="1"/>
  <c r="F452" i="1"/>
  <c r="G452" i="1"/>
  <c r="H452" i="1"/>
  <c r="I452" i="1"/>
  <c r="F460" i="1"/>
  <c r="F461" i="1"/>
  <c r="H639" i="1"/>
  <c r="G460" i="1"/>
  <c r="H460" i="1"/>
  <c r="H470" i="1"/>
  <c r="I470" i="1"/>
  <c r="G474" i="1"/>
  <c r="I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I571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9" i="1"/>
  <c r="H630" i="1"/>
  <c r="H635" i="1"/>
  <c r="H636" i="1"/>
  <c r="G643" i="1"/>
  <c r="G652" i="1"/>
  <c r="H652" i="1"/>
  <c r="G653" i="1"/>
  <c r="H653" i="1"/>
  <c r="G654" i="1"/>
  <c r="H654" i="1"/>
  <c r="H655" i="1"/>
  <c r="F78" i="2"/>
  <c r="D91" i="2"/>
  <c r="I169" i="1"/>
  <c r="H552" i="1"/>
  <c r="H140" i="1"/>
  <c r="H25" i="13"/>
  <c r="C25" i="13"/>
  <c r="H192" i="1"/>
  <c r="L565" i="1"/>
  <c r="K551" i="1"/>
  <c r="A13" i="12"/>
  <c r="D62" i="2"/>
  <c r="D63" i="2"/>
  <c r="J140" i="1"/>
  <c r="F552" i="1"/>
  <c r="L524" i="1"/>
  <c r="I552" i="1"/>
  <c r="K545" i="1"/>
  <c r="J552" i="1"/>
  <c r="I545" i="1"/>
  <c r="K550" i="1"/>
  <c r="J545" i="1"/>
  <c r="H545" i="1"/>
  <c r="G545" i="1"/>
  <c r="L544" i="1"/>
  <c r="K549" i="1"/>
  <c r="J571" i="1"/>
  <c r="H571" i="1"/>
  <c r="F571" i="1"/>
  <c r="L560" i="1"/>
  <c r="K571" i="1"/>
  <c r="L570" i="1"/>
  <c r="K605" i="1"/>
  <c r="G648" i="1"/>
  <c r="L433" i="1"/>
  <c r="L419" i="1"/>
  <c r="I408" i="1"/>
  <c r="H408" i="1"/>
  <c r="H644" i="1"/>
  <c r="G408" i="1"/>
  <c r="H645" i="1"/>
  <c r="F408" i="1"/>
  <c r="H643" i="1"/>
  <c r="J643" i="1"/>
  <c r="I460" i="1"/>
  <c r="I461" i="1"/>
  <c r="H642" i="1"/>
  <c r="J655" i="1"/>
  <c r="G645" i="1"/>
  <c r="L393" i="1"/>
  <c r="C138" i="2"/>
  <c r="L427" i="1"/>
  <c r="G461" i="1"/>
  <c r="H640" i="1"/>
  <c r="H461" i="1"/>
  <c r="H641" i="1"/>
  <c r="J641" i="1"/>
  <c r="J640" i="1"/>
  <c r="J639" i="1"/>
  <c r="I446" i="1"/>
  <c r="G642" i="1"/>
  <c r="H33" i="13"/>
  <c r="L270" i="1"/>
  <c r="C125" i="2"/>
  <c r="H256" i="1"/>
  <c r="C16" i="10"/>
  <c r="C119" i="2"/>
  <c r="D7" i="13"/>
  <c r="C7" i="13"/>
  <c r="L240" i="1"/>
  <c r="C118" i="2"/>
  <c r="L241" i="1"/>
  <c r="C112" i="2"/>
  <c r="C13" i="10"/>
  <c r="A40" i="12"/>
  <c r="K598" i="1"/>
  <c r="G647" i="1"/>
  <c r="A31" i="12"/>
  <c r="C12" i="10"/>
  <c r="G651" i="1"/>
  <c r="J651" i="1"/>
  <c r="L229" i="1"/>
  <c r="G660" i="1"/>
  <c r="K257" i="1"/>
  <c r="K271" i="1"/>
  <c r="C11" i="10"/>
  <c r="C110" i="2"/>
  <c r="L211" i="1"/>
  <c r="G257" i="1"/>
  <c r="G271" i="1"/>
  <c r="F257" i="1"/>
  <c r="F271" i="1"/>
  <c r="D5" i="13"/>
  <c r="C5" i="13"/>
  <c r="J257" i="1"/>
  <c r="J271" i="1"/>
  <c r="C109" i="2"/>
  <c r="J617" i="1"/>
  <c r="C18" i="2"/>
  <c r="F192" i="1"/>
  <c r="C91" i="2"/>
  <c r="C78" i="2"/>
  <c r="C81" i="2"/>
  <c r="C70" i="2"/>
  <c r="F112" i="1"/>
  <c r="H52" i="1"/>
  <c r="H619" i="1"/>
  <c r="J619" i="1"/>
  <c r="E31" i="2"/>
  <c r="I476" i="1"/>
  <c r="H625" i="1"/>
  <c r="I112" i="1"/>
  <c r="C35" i="10"/>
  <c r="C26" i="10"/>
  <c r="E125" i="2"/>
  <c r="E121" i="2"/>
  <c r="E122" i="2"/>
  <c r="E118" i="2"/>
  <c r="C21" i="10"/>
  <c r="E112" i="2"/>
  <c r="F338" i="1"/>
  <c r="F352" i="1"/>
  <c r="L309" i="1"/>
  <c r="L328" i="1"/>
  <c r="H338" i="1"/>
  <c r="H352" i="1"/>
  <c r="G338" i="1"/>
  <c r="G352" i="1"/>
  <c r="C10" i="10"/>
  <c r="E103" i="2"/>
  <c r="E78" i="2"/>
  <c r="E81" i="2"/>
  <c r="H112" i="1"/>
  <c r="H193" i="1"/>
  <c r="G629" i="1"/>
  <c r="J629" i="1"/>
  <c r="C29" i="10"/>
  <c r="F130" i="2"/>
  <c r="F144" i="2" s="1"/>
  <c r="F145" i="2" s="1"/>
  <c r="F18" i="2"/>
  <c r="D50" i="2"/>
  <c r="D31" i="2"/>
  <c r="D51" i="2"/>
  <c r="J634" i="1"/>
  <c r="G661" i="1"/>
  <c r="L362" i="1"/>
  <c r="G192" i="1"/>
  <c r="C16" i="13"/>
  <c r="F22" i="13"/>
  <c r="C22" i="13"/>
  <c r="G552" i="1"/>
  <c r="L290" i="1"/>
  <c r="L539" i="1"/>
  <c r="K503" i="1"/>
  <c r="L382" i="1"/>
  <c r="G636" i="1"/>
  <c r="J636" i="1"/>
  <c r="K352" i="1"/>
  <c r="E109" i="2"/>
  <c r="G81" i="2"/>
  <c r="C62" i="2"/>
  <c r="E57" i="2"/>
  <c r="E62" i="2"/>
  <c r="E63" i="2"/>
  <c r="F661" i="1"/>
  <c r="C15" i="10"/>
  <c r="G112" i="1"/>
  <c r="D29" i="13"/>
  <c r="C29" i="13"/>
  <c r="D6" i="13"/>
  <c r="C6" i="13"/>
  <c r="D15" i="13"/>
  <c r="C15" i="13"/>
  <c r="G649" i="1"/>
  <c r="J649" i="1"/>
  <c r="J338" i="1"/>
  <c r="J352" i="1"/>
  <c r="E130" i="2"/>
  <c r="E144" i="2"/>
  <c r="D127" i="2"/>
  <c r="D128" i="2"/>
  <c r="D145" i="2"/>
  <c r="C124" i="2"/>
  <c r="C111" i="2"/>
  <c r="C56" i="2"/>
  <c r="F662" i="1"/>
  <c r="I662" i="1"/>
  <c r="F81" i="2"/>
  <c r="L351" i="1"/>
  <c r="H647" i="1"/>
  <c r="G625" i="1"/>
  <c r="J625" i="1"/>
  <c r="L614" i="1"/>
  <c r="L529" i="1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F51" i="2"/>
  <c r="G31" i="13"/>
  <c r="G33" i="13"/>
  <c r="I338" i="1"/>
  <c r="I352" i="1"/>
  <c r="J650" i="1"/>
  <c r="L407" i="1"/>
  <c r="C140" i="2"/>
  <c r="L571" i="1"/>
  <c r="I192" i="1"/>
  <c r="E91" i="2"/>
  <c r="J654" i="1"/>
  <c r="J653" i="1"/>
  <c r="G21" i="2"/>
  <c r="G31" i="2"/>
  <c r="J32" i="1"/>
  <c r="L434" i="1"/>
  <c r="J434" i="1"/>
  <c r="F434" i="1"/>
  <c r="K434" i="1"/>
  <c r="G134" i="2"/>
  <c r="G144" i="2"/>
  <c r="G145" i="2"/>
  <c r="F31" i="13"/>
  <c r="F33" i="13"/>
  <c r="G169" i="1"/>
  <c r="C39" i="10"/>
  <c r="G140" i="1"/>
  <c r="F140" i="1"/>
  <c r="J618" i="1"/>
  <c r="G42" i="2"/>
  <c r="G50" i="2"/>
  <c r="J51" i="1"/>
  <c r="G16" i="2"/>
  <c r="G18" i="2"/>
  <c r="J19" i="1"/>
  <c r="G621" i="1"/>
  <c r="F545" i="1"/>
  <c r="H434" i="1"/>
  <c r="J620" i="1"/>
  <c r="D103" i="2"/>
  <c r="D104" i="2"/>
  <c r="I140" i="1"/>
  <c r="A22" i="12"/>
  <c r="J652" i="1"/>
  <c r="G571" i="1"/>
  <c r="I434" i="1"/>
  <c r="G434" i="1"/>
  <c r="I663" i="1"/>
  <c r="C27" i="10"/>
  <c r="G635" i="1"/>
  <c r="J635" i="1"/>
  <c r="K552" i="1"/>
  <c r="L545" i="1"/>
  <c r="G638" i="1"/>
  <c r="J472" i="1"/>
  <c r="J96" i="1"/>
  <c r="J645" i="1"/>
  <c r="J111" i="1"/>
  <c r="J112" i="1"/>
  <c r="J193" i="1"/>
  <c r="G646" i="1"/>
  <c r="G644" i="1"/>
  <c r="J644" i="1"/>
  <c r="G59" i="2"/>
  <c r="G62" i="2"/>
  <c r="G63" i="2"/>
  <c r="G104" i="2"/>
  <c r="L408" i="1"/>
  <c r="H646" i="1"/>
  <c r="C141" i="2"/>
  <c r="C144" i="2"/>
  <c r="J642" i="1"/>
  <c r="G51" i="2"/>
  <c r="E128" i="2"/>
  <c r="J647" i="1"/>
  <c r="L252" i="1"/>
  <c r="D18" i="13"/>
  <c r="C18" i="13"/>
  <c r="C121" i="2"/>
  <c r="L243" i="1"/>
  <c r="C123" i="2"/>
  <c r="E8" i="13"/>
  <c r="C8" i="13"/>
  <c r="L242" i="1"/>
  <c r="D12" i="13"/>
  <c r="C12" i="13"/>
  <c r="I247" i="1"/>
  <c r="C120" i="2"/>
  <c r="C17" i="10"/>
  <c r="C18" i="10"/>
  <c r="F660" i="1"/>
  <c r="F664" i="1"/>
  <c r="F193" i="1"/>
  <c r="E51" i="2"/>
  <c r="I193" i="1"/>
  <c r="G630" i="1"/>
  <c r="J630" i="1"/>
  <c r="F104" i="2"/>
  <c r="H648" i="1"/>
  <c r="J648" i="1"/>
  <c r="E115" i="2"/>
  <c r="L338" i="1"/>
  <c r="L352" i="1"/>
  <c r="E104" i="2"/>
  <c r="I661" i="1"/>
  <c r="G664" i="1"/>
  <c r="D31" i="13"/>
  <c r="C31" i="13"/>
  <c r="C63" i="2"/>
  <c r="C104" i="2"/>
  <c r="C51" i="2"/>
  <c r="G193" i="1"/>
  <c r="G626" i="1"/>
  <c r="J52" i="1"/>
  <c r="H621" i="1"/>
  <c r="J621" i="1"/>
  <c r="C38" i="10"/>
  <c r="C20" i="10"/>
  <c r="D14" i="13"/>
  <c r="C14" i="13"/>
  <c r="G628" i="1"/>
  <c r="G468" i="1"/>
  <c r="C36" i="10"/>
  <c r="C41" i="10"/>
  <c r="D38" i="10"/>
  <c r="G631" i="1"/>
  <c r="H638" i="1"/>
  <c r="J474" i="1"/>
  <c r="J638" i="1"/>
  <c r="J646" i="1"/>
  <c r="G637" i="1"/>
  <c r="J468" i="1"/>
  <c r="E145" i="2"/>
  <c r="L247" i="1"/>
  <c r="H660" i="1"/>
  <c r="H664" i="1"/>
  <c r="H672" i="1"/>
  <c r="C6" i="10"/>
  <c r="L253" i="1"/>
  <c r="D19" i="13"/>
  <c r="C19" i="13"/>
  <c r="H247" i="1"/>
  <c r="H257" i="1"/>
  <c r="H271" i="1"/>
  <c r="C122" i="2"/>
  <c r="C128" i="2"/>
  <c r="C19" i="10"/>
  <c r="E13" i="13"/>
  <c r="G627" i="1"/>
  <c r="F468" i="1"/>
  <c r="G633" i="1"/>
  <c r="H472" i="1"/>
  <c r="G672" i="1"/>
  <c r="C5" i="10"/>
  <c r="G667" i="1"/>
  <c r="F672" i="1"/>
  <c r="C4" i="10"/>
  <c r="F667" i="1"/>
  <c r="G470" i="1"/>
  <c r="G476" i="1"/>
  <c r="H623" i="1"/>
  <c r="J623" i="1"/>
  <c r="H628" i="1"/>
  <c r="J628" i="1"/>
  <c r="H637" i="1"/>
  <c r="J637" i="1"/>
  <c r="J470" i="1"/>
  <c r="J476" i="1"/>
  <c r="H626" i="1"/>
  <c r="J626" i="1"/>
  <c r="H631" i="1"/>
  <c r="J631" i="1"/>
  <c r="I660" i="1"/>
  <c r="I664" i="1"/>
  <c r="I672" i="1"/>
  <c r="C7" i="10" s="1"/>
  <c r="H667" i="1"/>
  <c r="L251" i="1"/>
  <c r="I256" i="1"/>
  <c r="C13" i="13"/>
  <c r="E33" i="13"/>
  <c r="D35" i="13"/>
  <c r="H627" i="1"/>
  <c r="F470" i="1"/>
  <c r="J627" i="1"/>
  <c r="H474" i="1"/>
  <c r="H476" i="1"/>
  <c r="H624" i="1"/>
  <c r="H633" i="1"/>
  <c r="J633" i="1"/>
  <c r="D37" i="10"/>
  <c r="D36" i="10"/>
  <c r="D35" i="10"/>
  <c r="D40" i="10"/>
  <c r="D39" i="10"/>
  <c r="I667" i="1"/>
  <c r="L256" i="1"/>
  <c r="L257" i="1"/>
  <c r="L271" i="1"/>
  <c r="I257" i="1"/>
  <c r="I271" i="1"/>
  <c r="C114" i="2"/>
  <c r="C115" i="2"/>
  <c r="C145" i="2"/>
  <c r="D17" i="13"/>
  <c r="C24" i="10"/>
  <c r="J624" i="1"/>
  <c r="D41" i="10"/>
  <c r="G632" i="1"/>
  <c r="F472" i="1"/>
  <c r="C17" i="13"/>
  <c r="D33" i="13"/>
  <c r="D36" i="13"/>
  <c r="C28" i="10"/>
  <c r="D24" i="10"/>
  <c r="F474" i="1"/>
  <c r="F476" i="1"/>
  <c r="H622" i="1"/>
  <c r="H632" i="1"/>
  <c r="J632" i="1"/>
  <c r="C30" i="10"/>
  <c r="D10" i="10"/>
  <c r="D26" i="10"/>
  <c r="D15" i="10"/>
  <c r="D22" i="10"/>
  <c r="D27" i="10"/>
  <c r="D25" i="10"/>
  <c r="D17" i="10"/>
  <c r="D21" i="10"/>
  <c r="D20" i="10"/>
  <c r="D19" i="10"/>
  <c r="D23" i="10"/>
  <c r="D11" i="10"/>
  <c r="D16" i="10"/>
  <c r="D13" i="10"/>
  <c r="D12" i="10"/>
  <c r="D18" i="10"/>
  <c r="J622" i="1"/>
  <c r="H656" i="1"/>
  <c r="D28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<sst xmlns="http://schemas.openxmlformats.org/spreadsheetml/2006/main" count="3960" uniqueCount="916">
  <si>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</si>
  <si>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</si>
  <si>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</si>
  <si>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</si>
  <si>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</si>
  <si>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</si>
  <si>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</si>
  <si>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</si>
  <si>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</si>
  <si>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</si>
  <si>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</si>
  <si>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</si>
  <si>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</si>
  <si>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</si>
  <si>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</si>
  <si>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</si>
  <si>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</si>
  <si>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</si>
  <si>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</si>
  <si>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</si>
  <si>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</si>
  <si>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</si>
  <si>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</si>
  <si>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</si>
  <si>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</si>
  <si>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</si>
  <si>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</si>
  <si>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</si>
  <si>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</si>
  <si>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</si>
  <si>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</si>
  <si>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</si>
  <si>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</si>
  <si>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</si>
  <si>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</si>
  <si>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</si>
  <si>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</si>
  <si>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</si>
  <si>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</si>
  <si>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</si>
  <si>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</si>
  <si>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</si>
  <si>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</si>
  <si>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</si>
  <si>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</si>
  <si>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</si>
  <si>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</si>
  <si>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</si>
  <si>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</si>
  <si>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</si>
  <si>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</si>
  <si>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</si>
  <si>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</si>
  <si>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</si>
  <si>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</si>
  <si>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</si>
  <si>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</si>
  <si>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</si>
  <si>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</si>
  <si>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</si>
  <si>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</si>
  <si>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</si>
  <si>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</si>
  <si>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</si>
  <si>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</si>
  <si>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</si>
  <si>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</si>
  <si>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</si>
  <si>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</si>
  <si>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</si>
  <si>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</si>
  <si>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</si>
  <si>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</si>
  <si>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</si>
  <si>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</si>
  <si>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</si>
  <si>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</si>
  <si>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</si>
  <si>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</si>
  <si>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</si>
  <si>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</si>
  <si>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</si>
  <si>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</si>
  <si>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</si>
  <si>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</si>
  <si>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</si>
  <si>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</si>
  <si>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</si>
  <si>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</si>
  <si>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</si>
  <si>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</si>
  <si>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</si>
  <si>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</si>
  <si>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</si>
  <si>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</si>
  <si>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</si>
  <si>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</si>
  <si>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</si>
  <si>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</si>
  <si>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</si>
  <si>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</si>
  <si>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</si>
  <si>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</si>
  <si>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</si>
  <si>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</si>
  <si>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</si>
  <si>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</si>
  <si>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</si>
  <si>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</si>
  <si>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</si>
  <si>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</si>
  <si>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</si>
  <si>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</si>
  <si>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</si>
  <si>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</si>
  <si>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</si>
  <si>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</si>
  <si>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</si>
  <si>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</si>
  <si>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</si>
  <si>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</si>
  <si>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</si>
  <si>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</si>
  <si>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</si>
  <si>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</si>
  <si>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</si>
  <si>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</si>
  <si>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</si>
  <si>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</si>
  <si>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</si>
  <si>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</si>
  <si>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</si>
  <si>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</si>
  <si>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</si>
  <si>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</si>
  <si>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</si>
  <si>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</si>
  <si>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</si>
  <si>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</si>
  <si>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</si>
  <si>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</si>
  <si>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</si>
  <si>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</si>
  <si>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</si>
  <si>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</si>
  <si>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</si>
  <si>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</si>
  <si>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</si>
  <si>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</si>
  <si>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</si>
  <si>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</si>
  <si>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</si>
  <si>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</si>
  <si>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</si>
  <si>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</si>
  <si>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</si>
  <si>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</si>
  <si>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</si>
  <si>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</si>
  <si>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</si>
  <si>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</si>
  <si>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</si>
  <si>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</si>
  <si>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</si>
  <si>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</si>
  <si>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</si>
  <si>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</si>
  <si>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</si>
  <si>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</si>
  <si>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</si>
  <si>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</si>
  <si>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</si>
  <si>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</si>
  <si>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</si>
  <si>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</si>
  <si>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</si>
  <si>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</si>
  <si>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</si>
  <si>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</si>
  <si>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</si>
  <si>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</si>
  <si>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</si>
  <si>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</si>
  <si>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</si>
  <si>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</si>
  <si>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</si>
  <si>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</si>
  <si>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</si>
  <si>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</si>
  <si>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</si>
  <si>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</si>
  <si>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</si>
  <si>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</si>
  <si>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</si>
  <si>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</si>
  <si>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</si>
  <si>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</si>
  <si>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</si>
  <si>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</si>
  <si>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</si>
  <si>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</si>
  <si>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</si>
  <si>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</si>
  <si>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</si>
  <si>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</si>
  <si>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</si>
  <si>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</si>
  <si>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</si>
  <si>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</si>
  <si>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</si>
  <si>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</si>
  <si>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</si>
  <si>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</si>
  <si>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</si>
  <si>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</si>
  <si>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</si>
  <si>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</si>
  <si>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</si>
  <si>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</si>
  <si>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</si>
  <si>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</si>
  <si>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</si>
  <si>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</si>
  <si>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</si>
  <si>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</si>
  <si>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</si>
  <si>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</si>
  <si>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</si>
  <si>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</si>
  <si>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</si>
  <si>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</si>
  <si>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</si>
  <si>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</si>
  <si>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</si>
  <si>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</si>
  <si>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</si>
  <si>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</si>
  <si>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</si>
  <si>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</si>
  <si>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</si>
  <si>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</si>
  <si>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</si>
  <si>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</si>
  <si>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</si>
  <si>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</si>
  <si>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</si>
  <si>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</si>
  <si>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</si>
  <si>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</si>
  <si>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</si>
  <si>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</si>
  <si>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</si>
  <si>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</si>
  <si>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</si>
  <si>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</si>
  <si>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</si>
  <si>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</si>
  <si>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</si>
  <si>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</si>
  <si>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</si>
  <si>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</si>
  <si>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</si>
  <si>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</si>
  <si>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</si>
  <si>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</si>
  <si>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</si>
  <si>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</si>
  <si>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</si>
  <si>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</si>
  <si>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</si>
  <si>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</si>
  <si>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</si>
  <si>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</si>
  <si>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</si>
  <si>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</si>
  <si>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</si>
  <si>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</si>
  <si>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</si>
  <si>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</si>
  <si>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</si>
  <si>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</si>
  <si>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</si>
  <si>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</si>
  <si>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</si>
  <si>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</si>
  <si>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</si>
  <si>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</si>
  <si>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</si>
  <si>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</si>
  <si>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</si>
  <si>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</si>
  <si>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</si>
  <si>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</si>
  <si>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</si>
  <si>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</si>
  <si>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</si>
  <si>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</si>
  <si>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</si>
  <si>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</si>
  <si>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</si>
  <si>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</si>
  <si>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</si>
  <si>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</si>
  <si>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</si>
  <si>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</si>
  <si>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</si>
  <si>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</si>
  <si>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</si>
  <si>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</si>
  <si>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</si>
  <si>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</si>
  <si>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</si>
  <si>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</si>
  <si>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</si>
  <si>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</si>
  <si>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</si>
  <si>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</si>
  <si>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</si>
  <si>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</si>
  <si>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</si>
  <si>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</si>
  <si>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</si>
  <si>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</si>
  <si>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</si>
  <si>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</si>
  <si>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</si>
  <si>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</si>
  <si>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</si>
  <si>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</si>
  <si>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</si>
  <si>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</si>
  <si>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</si>
  <si>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</si>
  <si>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</si>
  <si>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</si>
  <si>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</si>
  <si>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</si>
  <si>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</si>
  <si>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</si>
  <si>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</si>
  <si>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</si>
  <si>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</si>
  <si>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</si>
  <si>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</si>
  <si>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</si>
  <si>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</si>
  <si>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</si>
  <si>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</si>
  <si>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</si>
  <si>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</si>
  <si>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</si>
  <si>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</si>
  <si>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</si>
  <si>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</si>
  <si>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</si>
  <si>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</si>
  <si>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</si>
  <si>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</si>
  <si>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</si>
  <si>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</si>
  <si>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</si>
  <si>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</si>
  <si>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</si>
  <si>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</si>
  <si>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</si>
  <si>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</si>
  <si>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</si>
  <si>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</si>
  <si>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</si>
  <si>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</si>
  <si>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</si>
  <si>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</si>
  <si>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</si>
  <si>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</si>
  <si>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</si>
  <si>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</si>
  <si>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</si>
  <si>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</si>
  <si>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</si>
  <si>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</si>
  <si>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</si>
  <si>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</si>
  <si>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</si>
  <si>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</si>
  <si>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</si>
  <si>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</si>
  <si>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</si>
  <si>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</si>
  <si>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</si>
  <si>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</si>
  <si>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</si>
  <si>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</si>
  <si>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</si>
  <si>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</si>
  <si>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</si>
  <si>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</si>
  <si>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</si>
  <si>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</si>
  <si>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</si>
  <si>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</si>
  <si>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</si>
  <si>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</si>
  <si>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</si>
  <si>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</si>
  <si>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</si>
  <si>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</si>
  <si>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</si>
  <si>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</si>
  <si>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</si>
  <si>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</si>
  <si>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</si>
  <si>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</si>
  <si>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</si>
  <si>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</si>
  <si>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</si>
  <si>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</si>
  <si>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</si>
  <si>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</si>
  <si>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</si>
  <si>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</si>
  <si>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</si>
  <si>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</si>
  <si>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</si>
  <si>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</si>
  <si>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</si>
  <si>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</si>
  <si>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</si>
  <si>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</si>
  <si>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</si>
  <si>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</si>
  <si>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</si>
  <si>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</si>
  <si>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</si>
  <si>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</si>
  <si>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</si>
  <si>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</si>
  <si>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</si>
  <si>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</si>
  <si>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</si>
  <si>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</si>
  <si>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</si>
  <si>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</si>
  <si>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</si>
  <si>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</si>
  <si>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</si>
  <si>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</si>
  <si>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</si>
  <si>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</si>
  <si>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</si>
  <si>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</si>
  <si>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</si>
  <si>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</si>
  <si>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</si>
  <si>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</si>
  <si>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</si>
  <si>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</si>
  <si>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</si>
  <si>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</si>
  <si>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</si>
  <si>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</si>
  <si>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</si>
  <si>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</si>
  <si>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</si>
  <si>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</si>
  <si>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</si>
  <si>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</si>
  <si>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</si>
  <si>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</si>
  <si>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</si>
  <si>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</si>
  <si>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</si>
  <si>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</si>
  <si>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</si>
  <si>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</si>
  <si>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</si>
  <si>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</si>
  <si>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</si>
  <si>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</si>
  <si>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</si>
  <si>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</si>
  <si>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</si>
  <si>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</si>
  <si>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</si>
  <si>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</si>
  <si>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</si>
  <si>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</si>
  <si>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</si>
  <si>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</si>
  <si>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</si>
  <si>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</si>
  <si>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</si>
  <si>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</si>
  <si>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</si>
  <si>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</si>
  <si>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</si>
  <si>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</si>
  <si>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</si>
  <si>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</si>
  <si>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</si>
  <si>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</si>
  <si>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</si>
  <si>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</si>
  <si>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</si>
  <si>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</si>
  <si>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</si>
  <si>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</si>
  <si>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</si>
  <si>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</si>
  <si>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</si>
  <si>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</si>
  <si>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</si>
  <si>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</si>
  <si>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</si>
  <si>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</si>
  <si>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</si>
  <si>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</si>
  <si>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</si>
  <si>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</si>
  <si>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</si>
  <si>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</si>
  <si>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</si>
  <si>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</si>
  <si>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</si>
  <si>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</si>
  <si>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</si>
  <si>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</si>
  <si>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</si>
  <si>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</si>
  <si>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</si>
  <si>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</si>
  <si>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</si>
  <si>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</si>
  <si>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</si>
  <si>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</si>
  <si>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</si>
  <si>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</si>
  <si>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</si>
  <si>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</si>
  <si>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</si>
  <si>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</si>
  <si>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</si>
  <si>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</si>
  <si>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</si>
  <si>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</si>
  <si>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</si>
  <si>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</si>
  <si>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</si>
  <si>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</si>
  <si>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</si>
  <si>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</si>
  <si>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</si>
  <si>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</si>
  <si>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</si>
  <si>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</si>
  <si>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</si>
  <si>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</si>
  <si>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</si>
  <si>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</si>
  <si>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</si>
  <si>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</si>
  <si>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</si>
  <si>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</si>
  <si>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</si>
  <si>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</si>
  <si>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</si>
  <si>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</si>
  <si>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</si>
  <si>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</si>
  <si>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</si>
  <si>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</si>
  <si>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</si>
  <si>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</si>
  <si>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</si>
  <si>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</si>
  <si>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</si>
  <si>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</si>
  <si>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</si>
  <si>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</si>
  <si>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</si>
  <si>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</si>
  <si>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</si>
  <si>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</si>
  <si>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</si>
  <si>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</si>
  <si>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</si>
  <si>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</si>
  <si>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</si>
  <si>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</si>
  <si>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</si>
  <si>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</si>
  <si>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</si>
  <si>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</si>
  <si>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</si>
  <si>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</si>
  <si>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</si>
  <si>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</si>
  <si>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</si>
  <si>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</si>
  <si>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</si>
  <si>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</si>
  <si>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</si>
  <si>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</si>
  <si>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</si>
  <si>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</si>
  <si>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</si>
  <si>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</si>
  <si>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</si>
  <si>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</si>
  <si>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</si>
  <si>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</si>
  <si>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</si>
  <si>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</si>
  <si>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</si>
  <si>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</si>
  <si>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</si>
  <si>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</si>
  <si>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</si>
  <si>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</si>
  <si>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</si>
  <si>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</si>
  <si>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</si>
  <si>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</si>
  <si>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</si>
  <si>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</si>
  <si>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</si>
  <si>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</si>
  <si>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</si>
  <si>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</si>
  <si>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</si>
  <si>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</si>
  <si>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</si>
  <si>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</si>
  <si>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</si>
  <si>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</si>
  <si>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</si>
  <si>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</si>
  <si>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</si>
  <si>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</si>
  <si>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</si>
  <si>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</si>
  <si>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</si>
  <si>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</si>
  <si>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</si>
  <si>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</si>
  <si>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</si>
  <si>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</si>
  <si>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</si>
  <si>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</si>
  <si>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</si>
  <si>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</si>
  <si>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</si>
  <si>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</si>
  <si>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</si>
  <si>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</si>
  <si>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</si>
  <si>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</si>
  <si>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</si>
  <si>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</si>
  <si>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</si>
  <si>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</si>
  <si>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</si>
  <si>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</si>
  <si>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</si>
  <si>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</si>
  <si>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</si>
  <si>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</si>
  <si>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</si>
  <si>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</si>
  <si>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</si>
  <si>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</si>
  <si>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</si>
  <si>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</si>
  <si>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</si>
  <si>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</si>
  <si>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</si>
  <si>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</si>
  <si>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</si>
  <si>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</si>
  <si>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</si>
  <si>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</si>
  <si>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</si>
  <si>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</si>
  <si>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</si>
  <si>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</si>
  <si>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</si>
  <si>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</si>
  <si>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</si>
  <si>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</si>
  <si>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</si>
  <si>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</si>
  <si>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</si>
  <si>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</si>
  <si>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</si>
  <si>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</si>
  <si>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</si>
  <si>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</si>
  <si>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</si>
  <si>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</si>
  <si>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</si>
  <si>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</si>
  <si>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</si>
  <si>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</si>
  <si>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</si>
  <si>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</si>
  <si>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</si>
  <si>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</si>
  <si>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</si>
  <si>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</si>
  <si>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</si>
  <si>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</si>
  <si>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</si>
  <si>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</si>
  <si>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</si>
  <si>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</si>
  <si>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</si>
  <si>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</si>
  <si>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</si>
  <si>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</si>
  <si>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</si>
  <si>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</si>
  <si>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</si>
  <si>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</si>
  <si>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</si>
  <si>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</si>
  <si>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</si>
  <si>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</si>
  <si>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</si>
  <si>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</si>
  <si>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</si>
  <si>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</si>
  <si>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</si>
  <si>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</si>
  <si>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</si>
  <si>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</si>
  <si>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</si>
  <si>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</si>
  <si>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</si>
  <si>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</si>
  <si>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</si>
  <si>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</si>
  <si>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</si>
  <si>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</si>
  <si>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</si>
  <si>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</si>
  <si>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</si>
  <si>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</si>
  <si>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</si>
  <si>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</si>
  <si>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</si>
  <si>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</si>
  <si>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</si>
  <si>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</si>
  <si>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</si>
  <si>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</si>
  <si>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</si>
  <si>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</si>
  <si>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</si>
  <si>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</si>
  <si>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</si>
  <si>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</si>
  <si>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</si>
  <si>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</si>
  <si>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</si>
  <si>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</si>
  <si>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</si>
  <si>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</si>
  <si>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</si>
  <si>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</si>
  <si>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</si>
  <si>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</si>
  <si>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</si>
  <si>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</si>
  <si>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</si>
  <si>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</si>
  <si>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</si>
  <si>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</si>
  <si>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</si>
  <si>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</si>
  <si>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</si>
  <si>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</si>
  <si>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</si>
  <si>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</si>
  <si>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</si>
  <si>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</si>
  <si>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</si>
  <si>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</si>
  <si>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</si>
  <si>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</si>
  <si>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</si>
  <si>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</si>
  <si>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</si>
  <si>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</si>
  <si>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</si>
  <si>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</si>
  <si>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</si>
  <si>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</si>
  <si>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</si>
  <si>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</si>
  <si>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</si>
  <si>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</si>
  <si>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</si>
  <si>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</si>
  <si>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</si>
  <si>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</si>
  <si>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</si>
  <si>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</si>
  <si>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</si>
  <si>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</si>
  <si>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</si>
  <si>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</si>
  <si>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</si>
  <si>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</si>
  <si>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</si>
  <si>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</si>
  <si>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</si>
  <si>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</si>
  <si>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</si>
  <si>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</si>
  <si>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</si>
  <si>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</si>
  <si>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</si>
  <si>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</si>
  <si>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</si>
  <si>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</si>
  <si>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</si>
  <si>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</si>
  <si>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</si>
  <si>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</si>
  <si>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</si>
  <si>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</si>
  <si>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</si>
  <si>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</si>
  <si>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</si>
  <si>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</si>
  <si>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</si>
  <si>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</si>
  <si>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</si>
  <si>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</si>
  <si>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</si>
  <si>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</si>
  <si>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</si>
  <si>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</si>
  <si>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</si>
  <si>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</si>
  <si>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</si>
  <si>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</si>
  <si>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</si>
  <si>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</si>
  <si>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</si>
  <si>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</si>
  <si>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</si>
  <si>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</si>
  <si>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</si>
  <si>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</si>
  <si>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</si>
  <si>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</si>
  <si>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</si>
  <si>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</si>
  <si>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</si>
  <si>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</si>
  <si>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</si>
  <si>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</si>
  <si>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</si>
  <si>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</si>
  <si>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</si>
  <si>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</si>
  <si>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</si>
  <si>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</si>
  <si>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</si>
  <si>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</si>
  <si>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</si>
  <si>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</si>
  <si>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</si>
  <si>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</si>
  <si>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</si>
  <si>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</si>
  <si>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</si>
  <si>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</si>
  <si>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</si>
  <si>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</si>
  <si>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</si>
  <si>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</si>
  <si>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</si>
  <si>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</si>
  <si>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</si>
  <si>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</si>
  <si>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</si>
  <si>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</si>
  <si>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</si>
  <si>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</si>
  <si>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</si>
  <si>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</si>
  <si>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</si>
  <si>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</si>
  <si>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</si>
  <si>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</si>
  <si>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</si>
  <si>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</si>
  <si>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</si>
  <si>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</si>
  <si>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</si>
  <si>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</si>
  <si>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</si>
  <si>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</si>
  <si>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</si>
  <si>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</si>
  <si>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</si>
  <si>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</si>
  <si>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</si>
  <si>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</si>
  <si>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</si>
  <si>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</si>
  <si>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BOW SCHOOL DISTRICT</t>
  </si>
  <si>
    <t>7/1/2006</t>
  </si>
  <si>
    <t>7/1/2026</t>
  </si>
  <si>
    <t>Changed Reserve for Amounts Voted to Reflest DRA Change - $51,072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</si>
</sst>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/>
      <c r="C2" s="21"/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1862679.3+12128.09</f>
        <v>1874807.3900000001</v>
      </c>
      <c r="G9" s="18">
        <v>0</v>
      </c>
      <c r="H9" s="18">
        <v>0</v>
      </c>
      <c r="I9" s="18">
        <v>0</v>
      </c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1871857.61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0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940655.61+1307671.37</f>
        <v>2248326.98</v>
      </c>
      <c r="G12" s="18">
        <v>1565766.64</v>
      </c>
      <c r="H12" s="18">
        <v>862665.76</v>
      </c>
      <c r="I12" s="18">
        <v>0</v>
      </c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0</v>
      </c>
      <c r="G13" s="18">
        <v>0</v>
      </c>
      <c r="H13" s="18">
        <v>66528.75</v>
      </c>
      <c r="I13" s="18">
        <v>0</v>
      </c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227693.79</v>
      </c>
      <c r="G14" s="18">
        <v>6606.33</v>
      </c>
      <c r="H14" s="18">
        <v>0</v>
      </c>
      <c r="I14" s="18">
        <v>0</v>
      </c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>
        <v>0</v>
      </c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f>117337.02+75773.54</f>
        <v>193110.56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4543938.72</v>
      </c>
      <c r="G19" s="41">
        <f>SUM(G9:G18)</f>
        <v>1572372.97</v>
      </c>
      <c r="H19" s="41">
        <f>SUM(H9:H18)</f>
        <v>929194.51</v>
      </c>
      <c r="I19" s="41">
        <f>SUM(I9:I18)</f>
        <v>0</v>
      </c>
      <c r="J19" s="41">
        <f>SUM(J9:J18)</f>
        <v>1871857.61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f>1566173.68+22310.27+862665.76</f>
        <v>2451149.71</v>
      </c>
      <c r="G22" s="18">
        <v>1307264.3600000001</v>
      </c>
      <c r="H22" s="18">
        <v>918345.34</v>
      </c>
      <c r="I22" s="18">
        <v>0</v>
      </c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810535.71</v>
      </c>
      <c r="G24" s="18">
        <v>2074.2399999999998</v>
      </c>
      <c r="H24" s="18">
        <v>10849.17</v>
      </c>
      <c r="I24" s="18">
        <v>0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>
        <v>0</v>
      </c>
      <c r="G26" s="24" t="s">
        <v>286</v>
      </c>
      <c r="H26" s="24" t="s">
        <v>286</v>
      </c>
      <c r="I26" s="18">
        <v>0</v>
      </c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>
        <v>0</v>
      </c>
      <c r="G27" s="24" t="s">
        <v>286</v>
      </c>
      <c r="H27" s="24" t="s">
        <v>286</v>
      </c>
      <c r="I27" s="18">
        <v>0</v>
      </c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f>8557.99+15986.25+120803.12+167126.04+7710.5+34544.77+725.48+10360.68+3235.72</f>
        <v>369050.55</v>
      </c>
      <c r="G29" s="18">
        <v>0</v>
      </c>
      <c r="H29" s="18">
        <v>0</v>
      </c>
      <c r="I29" s="18">
        <v>0</v>
      </c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0</v>
      </c>
      <c r="G30" s="18">
        <v>22233.83</v>
      </c>
      <c r="H30" s="18">
        <v>0</v>
      </c>
      <c r="I30" s="18">
        <v>0</v>
      </c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3630735.9699999997</v>
      </c>
      <c r="G32" s="41">
        <f>SUM(G22:G31)</f>
        <v>1331572.4300000002</v>
      </c>
      <c r="H32" s="41">
        <f>SUM(H22:H31)</f>
        <v>929194.51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f>193110.56+28000</f>
        <v>221110.56</v>
      </c>
      <c r="G36" s="18">
        <v>0</v>
      </c>
      <c r="H36" s="18">
        <v>0</v>
      </c>
      <c r="I36" s="18">
        <v>0</v>
      </c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240800.54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>
        <v>0</v>
      </c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51072</v>
      </c>
      <c r="G44" s="18">
        <v>0</v>
      </c>
      <c r="H44" s="18">
        <v>0</v>
      </c>
      <c r="I44" s="18">
        <v>0</v>
      </c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0</v>
      </c>
      <c r="G48" s="18">
        <v>0</v>
      </c>
      <c r="H48" s="18">
        <v>0</v>
      </c>
      <c r="I48" s="18">
        <v>0</v>
      </c>
      <c r="J48" s="13">
        <f>SUM(I459)</f>
        <v>1871857.6099999999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4543938.72-3902918.53</f>
        <v>641020.18999999994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913202.75</v>
      </c>
      <c r="G51" s="41">
        <f>SUM(G35:G50)</f>
        <v>240800.54</v>
      </c>
      <c r="H51" s="41">
        <f>SUM(H35:H50)</f>
        <v>0</v>
      </c>
      <c r="I51" s="41">
        <f>SUM(I35:I50)</f>
        <v>0</v>
      </c>
      <c r="J51" s="41">
        <f>SUM(J35:J50)</f>
        <v>1871857.6099999999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4543938.72</v>
      </c>
      <c r="G52" s="41">
        <f>G51+G32</f>
        <v>1572372.9700000002</v>
      </c>
      <c r="H52" s="41">
        <f>H51+H32</f>
        <v>929194.51</v>
      </c>
      <c r="I52" s="41">
        <f>I51+I32</f>
        <v>0</v>
      </c>
      <c r="J52" s="41">
        <f>J51+J32</f>
        <v>1871857.6099999999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17382101</v>
      </c>
      <c r="G57" s="18">
        <v>0</v>
      </c>
      <c r="H57" s="18">
        <v>0</v>
      </c>
      <c r="I57" s="18">
        <v>0</v>
      </c>
      <c r="J57" s="18">
        <v>0</v>
      </c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>
        <v>0</v>
      </c>
      <c r="G58" s="18">
        <v>0</v>
      </c>
      <c r="H58" s="24" t="s">
        <v>286</v>
      </c>
      <c r="I58" s="18">
        <v>0</v>
      </c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17382101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f>313026.15-267394.89+54148.71-49068.71</f>
        <v>50711.26</v>
      </c>
      <c r="G63" s="24" t="s">
        <v>286</v>
      </c>
      <c r="H63" s="18">
        <v>0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90</v>
      </c>
      <c r="G64" s="24" t="s">
        <v>286</v>
      </c>
      <c r="H64" s="18">
        <v>0</v>
      </c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>
        <v>0</v>
      </c>
      <c r="G65" s="24" t="s">
        <v>286</v>
      </c>
      <c r="H65" s="18">
        <v>0</v>
      </c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0</v>
      </c>
      <c r="G66" s="24" t="s">
        <v>286</v>
      </c>
      <c r="H66" s="18">
        <v>0</v>
      </c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f>123000+13504+2574.39+13504+114812.5+697954.63+1720123.24</f>
        <v>2685472.76</v>
      </c>
      <c r="G68" s="24" t="s">
        <v>286</v>
      </c>
      <c r="H68" s="18">
        <v>0</v>
      </c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f>4116.47+3746.02+14984.08+3746.02+7492.04+14984.08</f>
        <v>49068.71</v>
      </c>
      <c r="G69" s="24" t="s">
        <v>286</v>
      </c>
      <c r="H69" s="18">
        <v>0</v>
      </c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0</v>
      </c>
      <c r="G70" s="24" t="s">
        <v>286</v>
      </c>
      <c r="H70" s="18">
        <v>0</v>
      </c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0</v>
      </c>
      <c r="G72" s="24" t="s">
        <v>286</v>
      </c>
      <c r="H72" s="18">
        <v>0</v>
      </c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v>0</v>
      </c>
      <c r="G73" s="24" t="s">
        <v>286</v>
      </c>
      <c r="H73" s="18">
        <v>0</v>
      </c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>
        <v>0</v>
      </c>
      <c r="G74" s="24" t="s">
        <v>286</v>
      </c>
      <c r="H74" s="18">
        <v>0</v>
      </c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>
        <v>0</v>
      </c>
      <c r="G76" s="24" t="s">
        <v>286</v>
      </c>
      <c r="H76" s="18">
        <v>0</v>
      </c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>
        <v>0</v>
      </c>
      <c r="G77" s="24" t="s">
        <v>286</v>
      </c>
      <c r="H77" s="18">
        <v>0</v>
      </c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0</v>
      </c>
      <c r="G78" s="24" t="s">
        <v>286</v>
      </c>
      <c r="H78" s="18">
        <v>0</v>
      </c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2785342.7299999995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0</v>
      </c>
      <c r="G83" s="24" t="s">
        <v>286</v>
      </c>
      <c r="H83" s="18">
        <v>0</v>
      </c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>
        <v>0</v>
      </c>
      <c r="G84" s="24" t="s">
        <v>286</v>
      </c>
      <c r="H84" s="18">
        <v>0</v>
      </c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v>0</v>
      </c>
      <c r="G86" s="24" t="s">
        <v>286</v>
      </c>
      <c r="H86" s="18">
        <v>0</v>
      </c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>
        <v>0</v>
      </c>
      <c r="G87" s="24" t="s">
        <v>286</v>
      </c>
      <c r="H87" s="18">
        <v>0</v>
      </c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>
        <v>0</v>
      </c>
      <c r="G88" s="24" t="s">
        <v>286</v>
      </c>
      <c r="H88" s="18">
        <v>0</v>
      </c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>
        <v>0</v>
      </c>
      <c r="G90" s="24" t="s">
        <v>286</v>
      </c>
      <c r="H90" s="18">
        <v>0</v>
      </c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>
        <v>0</v>
      </c>
      <c r="G91" s="24" t="s">
        <v>286</v>
      </c>
      <c r="H91" s="18">
        <v>0</v>
      </c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>
        <v>0</v>
      </c>
      <c r="G92" s="24" t="s">
        <v>286</v>
      </c>
      <c r="H92" s="18">
        <v>0</v>
      </c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>
        <v>0</v>
      </c>
      <c r="G93" s="24" t="s">
        <v>286</v>
      </c>
      <c r="H93" s="18">
        <v>0</v>
      </c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8045.48</v>
      </c>
      <c r="G96" s="18">
        <v>0</v>
      </c>
      <c r="H96" s="18">
        <v>0</v>
      </c>
      <c r="I96" s="18">
        <v>0</v>
      </c>
      <c r="J96" s="18">
        <f>H408</f>
        <v>-1065.3599999999974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141386.3+182105.13+299899.57+1590.25</f>
        <v>624981.25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30525</v>
      </c>
      <c r="G98" s="24" t="s">
        <v>286</v>
      </c>
      <c r="H98" s="18">
        <v>0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>
        <v>0</v>
      </c>
      <c r="G99" s="18">
        <v>0</v>
      </c>
      <c r="H99" s="18">
        <v>0</v>
      </c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f>12800+5335</f>
        <v>18135</v>
      </c>
      <c r="G101" s="18">
        <v>0</v>
      </c>
      <c r="H101" s="18">
        <v>0</v>
      </c>
      <c r="I101" s="18">
        <v>0</v>
      </c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f>19926-1433</f>
        <v>18493</v>
      </c>
      <c r="G102" s="18">
        <v>0</v>
      </c>
      <c r="H102" s="18">
        <v>0</v>
      </c>
      <c r="I102" s="18">
        <v>0</v>
      </c>
      <c r="J102" s="18">
        <v>0</v>
      </c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1433</v>
      </c>
      <c r="G103" s="18">
        <v>0</v>
      </c>
      <c r="H103" s="18">
        <v>0</v>
      </c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>
        <v>0</v>
      </c>
      <c r="G104" s="24" t="s">
        <v>286</v>
      </c>
      <c r="H104" s="18">
        <v>0</v>
      </c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0</v>
      </c>
      <c r="G105" s="18">
        <v>0</v>
      </c>
      <c r="H105" s="18">
        <v>0</v>
      </c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>
        <v>0</v>
      </c>
      <c r="G106" s="18">
        <v>0</v>
      </c>
      <c r="H106" s="18">
        <v>0</v>
      </c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20466.26+43200</f>
        <v>63666.259999999995</v>
      </c>
      <c r="G110" s="18">
        <v>0</v>
      </c>
      <c r="H110" s="18">
        <v>0</v>
      </c>
      <c r="I110" s="18">
        <v>0</v>
      </c>
      <c r="J110" s="18">
        <v>0</v>
      </c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140297.74</v>
      </c>
      <c r="G111" s="41">
        <f>SUM(G96:G110)</f>
        <v>624981.25</v>
      </c>
      <c r="H111" s="41">
        <f>SUM(H96:H110)</f>
        <v>0</v>
      </c>
      <c r="I111" s="41">
        <f>SUM(I96:I110)</f>
        <v>0</v>
      </c>
      <c r="J111" s="41">
        <f>SUM(J96:J110)</f>
        <v>-1065.3599999999974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20307741.469999999</v>
      </c>
      <c r="G112" s="41">
        <f>G60+G111</f>
        <v>624981.25</v>
      </c>
      <c r="H112" s="41">
        <f>H60+H79+H94+H111</f>
        <v>0</v>
      </c>
      <c r="I112" s="41">
        <f>I60+I111</f>
        <v>0</v>
      </c>
      <c r="J112" s="41">
        <f>J60+J111</f>
        <v>-1065.3599999999974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3616786.1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2176723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f>5747.58+12304.96</f>
        <v>18052.54</v>
      </c>
      <c r="G120" s="18">
        <v>0</v>
      </c>
      <c r="H120" s="18">
        <v>0</v>
      </c>
      <c r="I120" s="18">
        <v>0</v>
      </c>
      <c r="J120" s="18">
        <v>0</v>
      </c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5811561.6399999997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67289.929999999993</v>
      </c>
      <c r="G123" s="24" t="s">
        <v>286</v>
      </c>
      <c r="H123" s="24" t="s">
        <v>286</v>
      </c>
      <c r="I123" s="18">
        <v>0</v>
      </c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>
        <v>0</v>
      </c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300977.53999999998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0</v>
      </c>
      <c r="G127" s="24" t="s">
        <v>286</v>
      </c>
      <c r="H127" s="18">
        <v>0</v>
      </c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9558.6</v>
      </c>
      <c r="G128" s="24" t="s">
        <v>286</v>
      </c>
      <c r="H128" s="18">
        <v>0</v>
      </c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>
        <v>0</v>
      </c>
      <c r="G129" s="24" t="s">
        <v>286</v>
      </c>
      <c r="H129" s="18">
        <v>0</v>
      </c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>
        <v>0</v>
      </c>
      <c r="G130" s="24" t="s">
        <v>286</v>
      </c>
      <c r="H130" s="18">
        <v>0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>
        <v>0</v>
      </c>
      <c r="G131" s="24" t="s">
        <v>286</v>
      </c>
      <c r="H131" s="18">
        <v>0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f>6846.55+33263.87</f>
        <v>40110.420000000006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>
        <v>0</v>
      </c>
      <c r="G133" s="24" t="s">
        <v>286</v>
      </c>
      <c r="H133" s="18">
        <v>0</v>
      </c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377826.06999999995</v>
      </c>
      <c r="G136" s="41">
        <f>SUM(G123:G135)</f>
        <v>40110.420000000006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>
        <v>0</v>
      </c>
      <c r="G137" s="18">
        <v>0</v>
      </c>
      <c r="H137" s="18">
        <v>0</v>
      </c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>
        <v>0</v>
      </c>
      <c r="G138" s="24" t="s">
        <v>286</v>
      </c>
      <c r="H138" s="18">
        <v>0</v>
      </c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6189387.71</v>
      </c>
      <c r="G140" s="41">
        <f>G121+SUM(G136:G137)</f>
        <v>40110.420000000006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>
        <v>0</v>
      </c>
      <c r="G150" s="24" t="s">
        <v>286</v>
      </c>
      <c r="H150" s="18">
        <v>0</v>
      </c>
      <c r="I150" s="18">
        <v>0</v>
      </c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>
        <v>0</v>
      </c>
      <c r="G151" s="24" t="s">
        <v>286</v>
      </c>
      <c r="H151" s="18">
        <v>0</v>
      </c>
      <c r="I151" s="18">
        <v>0</v>
      </c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>
        <v>0</v>
      </c>
      <c r="G152" s="24" t="s">
        <v>286</v>
      </c>
      <c r="H152" s="18">
        <v>0</v>
      </c>
      <c r="I152" s="18">
        <v>0</v>
      </c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16.76+71582.75</f>
        <v>71599.509999999995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31645.65+7717.35+2000+2092.88+971.75</f>
        <v>44427.63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0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>
        <v>0</v>
      </c>
      <c r="G157" s="24" t="s">
        <v>286</v>
      </c>
      <c r="H157" s="18">
        <v>0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89991.73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>
        <v>0</v>
      </c>
      <c r="G159" s="24" t="s">
        <v>286</v>
      </c>
      <c r="H159" s="18">
        <f>27717.04+285910.26</f>
        <v>313627.3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277192.09000000003</v>
      </c>
      <c r="G160" s="24" t="s">
        <v>286</v>
      </c>
      <c r="H160" s="18">
        <v>0</v>
      </c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277192.09000000003</v>
      </c>
      <c r="G162" s="41">
        <f>SUM(G150:G161)</f>
        <v>89991.73</v>
      </c>
      <c r="H162" s="41">
        <f>SUM(H150:H161)</f>
        <v>429654.43999999994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>
        <v>0</v>
      </c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0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>
        <v>0</v>
      </c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>
        <v>0</v>
      </c>
      <c r="G168" s="18">
        <v>0</v>
      </c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277192.09000000003</v>
      </c>
      <c r="G169" s="41">
        <f>G147+G162+SUM(G163:G168)</f>
        <v>89991.73</v>
      </c>
      <c r="H169" s="41">
        <f>H147+H162+SUM(H163:H168)</f>
        <v>429654.43999999994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>
        <v>0</v>
      </c>
      <c r="G173" s="24" t="s">
        <v>286</v>
      </c>
      <c r="H173" s="24" t="s">
        <v>286</v>
      </c>
      <c r="I173" s="18">
        <v>0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>
        <v>0</v>
      </c>
      <c r="G174" s="24" t="s">
        <v>286</v>
      </c>
      <c r="H174" s="24" t="s">
        <v>286</v>
      </c>
      <c r="I174" s="18">
        <v>0</v>
      </c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>
        <v>0</v>
      </c>
      <c r="G175" s="24" t="s">
        <v>286</v>
      </c>
      <c r="H175" s="24" t="s">
        <v>286</v>
      </c>
      <c r="I175" s="18">
        <v>0</v>
      </c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>
        <v>0</v>
      </c>
      <c r="G176" s="24" t="s">
        <v>286</v>
      </c>
      <c r="H176" s="24" t="s">
        <v>286</v>
      </c>
      <c r="I176" s="18">
        <v>0</v>
      </c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0</v>
      </c>
      <c r="H179" s="18">
        <v>0</v>
      </c>
      <c r="I179" s="18">
        <v>0</v>
      </c>
      <c r="J179" s="18">
        <f>G389</f>
        <v>375550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>
        <v>0</v>
      </c>
      <c r="G180" s="24" t="s">
        <v>286</v>
      </c>
      <c r="H180" s="18">
        <v>0</v>
      </c>
      <c r="I180" s="18">
        <v>0</v>
      </c>
      <c r="J180" s="18">
        <v>0</v>
      </c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0</v>
      </c>
      <c r="G181" s="18">
        <v>0</v>
      </c>
      <c r="H181" s="24" t="s">
        <v>286</v>
      </c>
      <c r="I181" s="18">
        <v>0</v>
      </c>
      <c r="J181" s="18">
        <v>0</v>
      </c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>
        <v>0</v>
      </c>
      <c r="G182" s="18">
        <v>0</v>
      </c>
      <c r="H182" s="18">
        <v>0</v>
      </c>
      <c r="I182" s="24" t="s">
        <v>286</v>
      </c>
      <c r="J182" s="18">
        <v>0</v>
      </c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375550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103150</v>
      </c>
      <c r="G185" s="18">
        <v>0</v>
      </c>
      <c r="H185" s="18">
        <v>0</v>
      </c>
      <c r="I185" s="18">
        <v>0</v>
      </c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103150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103150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375550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26877471.27</v>
      </c>
      <c r="G193" s="47">
        <f>G112+G140+G169+G192</f>
        <v>755083.4</v>
      </c>
      <c r="H193" s="47">
        <f>H112+H140+H169+H192</f>
        <v>429654.43999999994</v>
      </c>
      <c r="I193" s="47">
        <f>I112+I140+I169+I192</f>
        <v>0</v>
      </c>
      <c r="J193" s="47">
        <f>J112+J140+J192</f>
        <v>374484.64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2077211.15+54741.83</f>
        <v>2131952.98</v>
      </c>
      <c r="G197" s="18">
        <f>11422.31+1006781.33</f>
        <v>1018203.64</v>
      </c>
      <c r="H197" s="18">
        <f>19426.61+4976.4</f>
        <v>24403.010000000002</v>
      </c>
      <c r="I197" s="18">
        <f>3352.89+1905+639.62+2636.33+3453+4209.04+293.04+2290.52+732.34+499.91+249.98+36698.05+1053.46+21868.81+4429.2</f>
        <v>84311.19</v>
      </c>
      <c r="J197" s="18">
        <f>825.45+29732.19+1152.96</f>
        <v>31710.6</v>
      </c>
      <c r="K197" s="18">
        <v>0</v>
      </c>
      <c r="L197" s="19">
        <f>SUM(F197:K197)</f>
        <v>3290581.42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321251.71+475802.27+13685.46+72916.08</f>
        <v>883655.5199999999</v>
      </c>
      <c r="G198" s="18">
        <f>411495.49+22442.56</f>
        <v>433938.05</v>
      </c>
      <c r="H198" s="18">
        <f>950+1130.43+130425.33+852.83+183666.63</f>
        <v>317025.21999999997</v>
      </c>
      <c r="I198" s="18">
        <f>411.31+707.93+290.52+784.9+1592.8</f>
        <v>3787.46</v>
      </c>
      <c r="J198" s="18">
        <f>784+918.55+3000+1000+1904.76</f>
        <v>7607.31</v>
      </c>
      <c r="K198" s="18">
        <f>32452.82</f>
        <v>32452.82</v>
      </c>
      <c r="L198" s="19">
        <f>SUM(F198:K198)</f>
        <v>1678466.38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7460</f>
        <v>7460</v>
      </c>
      <c r="G200" s="18">
        <f>1409.04</f>
        <v>1409.04</v>
      </c>
      <c r="H200" s="18">
        <v>0</v>
      </c>
      <c r="I200" s="18">
        <f>157.03+462.11</f>
        <v>619.14</v>
      </c>
      <c r="J200" s="18">
        <v>0</v>
      </c>
      <c r="K200" s="18">
        <f>980</f>
        <v>980</v>
      </c>
      <c r="L200" s="19">
        <f>SUM(F200:K200)</f>
        <v>10468.18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72069.92+44590.92+20133.76+78351+219715.38+71655.81+131524.92</f>
        <v>638041.71</v>
      </c>
      <c r="G202" s="18">
        <f>7440.34+33866.92+26458.17+28205.43+132135.23+72984.68</f>
        <v>301090.77</v>
      </c>
      <c r="H202" s="18">
        <f>8333.33+3176.67+1072.46+919.89+8329.79+44787.81+368.51</f>
        <v>66988.459999999992</v>
      </c>
      <c r="I202" s="18">
        <f>500+1834.87+71.77+711.05+648.38</f>
        <v>3766.0699999999997</v>
      </c>
      <c r="J202" s="18">
        <f>161.1+1560.36+2361.51</f>
        <v>4082.9700000000003</v>
      </c>
      <c r="K202" s="18">
        <f>129+2000</f>
        <v>2129</v>
      </c>
      <c r="L202" s="19">
        <f t="shared" ref="L202:L208" si="0">SUM(F202:K202)</f>
        <v>1016098.9799999999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1897.67+77010.96+8239.04+38005.19</f>
        <v>125152.86000000002</v>
      </c>
      <c r="G203" s="18">
        <f>125.79+41936.77+20146.52</f>
        <v>62209.08</v>
      </c>
      <c r="H203" s="18">
        <f>3685+396.59+1612.5+7179.62+1000+1504.41+12513.17+15955.34</f>
        <v>43846.630000000005</v>
      </c>
      <c r="I203" s="18">
        <f>279.04+404.15+8740+4416.32</f>
        <v>13839.51</v>
      </c>
      <c r="J203" s="18">
        <f>889.65+84312.27+1234.06</f>
        <v>86435.98</v>
      </c>
      <c r="K203" s="18">
        <v>0</v>
      </c>
      <c r="L203" s="19">
        <f t="shared" si="0"/>
        <v>331484.06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4381.67+66.67+400</f>
        <v>4848.34</v>
      </c>
      <c r="G204" s="18">
        <f>335.2+30.6</f>
        <v>365.8</v>
      </c>
      <c r="H204" s="18">
        <f>7369.59+6987.31+4046.67+246461.33</f>
        <v>264864.89999999997</v>
      </c>
      <c r="I204" s="18">
        <f>1772.08</f>
        <v>1772.08</v>
      </c>
      <c r="J204" s="18">
        <v>0</v>
      </c>
      <c r="K204" s="18">
        <f>9223.17+1824.83+557.41</f>
        <v>11605.41</v>
      </c>
      <c r="L204" s="19">
        <f t="shared" si="0"/>
        <v>283456.52999999997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100776+85481.85+88372</f>
        <v>274629.84999999998</v>
      </c>
      <c r="G205" s="18">
        <f>7054+122480.85</f>
        <v>129534.85</v>
      </c>
      <c r="H205" s="18">
        <f>3418.4+1488.3+1577.19+207.55</f>
        <v>6691.44</v>
      </c>
      <c r="I205" s="18">
        <v>0</v>
      </c>
      <c r="J205" s="18">
        <f>249.99+47.64</f>
        <v>297.63</v>
      </c>
      <c r="K205" s="18">
        <f>218</f>
        <v>218</v>
      </c>
      <c r="L205" s="19">
        <f t="shared" si="0"/>
        <v>411371.76999999996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122042.78+19362.86</f>
        <v>141405.64000000001</v>
      </c>
      <c r="G207" s="18">
        <f>76254.14+12615.73</f>
        <v>88869.87</v>
      </c>
      <c r="H207" s="18">
        <f>628.33+12661.55+5977.08+378.82+8157.33+849.91+12210.77+17071.69+13440.97+8611.7+536.95+12859+153.6</f>
        <v>93537.7</v>
      </c>
      <c r="I207" s="18">
        <f>16557.76+24798.22+94949.62+319.44+302.45</f>
        <v>136927.49</v>
      </c>
      <c r="J207" s="18">
        <f>2810.26+299.17</f>
        <v>3109.4300000000003</v>
      </c>
      <c r="K207" s="18">
        <v>0</v>
      </c>
      <c r="L207" s="19">
        <f t="shared" si="0"/>
        <v>463850.13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f>114637.73+20974.04+880.42+27563.47</f>
        <v>164055.66</v>
      </c>
      <c r="G208" s="18">
        <f>29660.22+2319.06+92.52+18597.16</f>
        <v>50668.960000000006</v>
      </c>
      <c r="H208" s="18">
        <f>712.25+60249.57+703.04+32024.06</f>
        <v>93688.92</v>
      </c>
      <c r="I208" s="18">
        <f>1747.37+43191.71</f>
        <v>44939.08</v>
      </c>
      <c r="J208" s="18">
        <f>3418.67+58560.65</f>
        <v>61979.32</v>
      </c>
      <c r="K208" s="18">
        <f>3888.6</f>
        <v>3888.6</v>
      </c>
      <c r="L208" s="19">
        <f t="shared" si="0"/>
        <v>419220.54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4371202.5599999996</v>
      </c>
      <c r="G211" s="41">
        <f t="shared" si="1"/>
        <v>2086290.06</v>
      </c>
      <c r="H211" s="41">
        <f t="shared" si="1"/>
        <v>911046.27999999991</v>
      </c>
      <c r="I211" s="41">
        <f t="shared" si="1"/>
        <v>289962.02</v>
      </c>
      <c r="J211" s="41">
        <f t="shared" si="1"/>
        <v>195223.24</v>
      </c>
      <c r="K211" s="41">
        <f t="shared" si="1"/>
        <v>51273.829999999994</v>
      </c>
      <c r="L211" s="41">
        <f t="shared" si="1"/>
        <v>7904997.9899999984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2213474.74+24009.3+53407.8</f>
        <v>2290891.84</v>
      </c>
      <c r="G215" s="18">
        <f>11143.95+1081837.72</f>
        <v>1092981.67</v>
      </c>
      <c r="H215" s="18">
        <f>23481.11+7658.91</f>
        <v>31140.02</v>
      </c>
      <c r="I215" s="18">
        <f>3631.48+13.94+734.84+1551.82+1753.96+852.31+1936.07+4688.51+5779.48+1995.7+571.04+262.85+3724.49+15675.05+1204.05+15059.42+11217.98+936.55+2873.2+1712.62</f>
        <v>76175.359999999986</v>
      </c>
      <c r="J215" s="18">
        <f>1705.24+4396.56+6483.32+1235.85</f>
        <v>13820.97</v>
      </c>
      <c r="K215" s="18">
        <f>1142</f>
        <v>1142</v>
      </c>
      <c r="L215" s="19">
        <f>SUM(F215:K215)</f>
        <v>3506151.86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400121.98+315114.38+13351.95+14443.6+76785.02</f>
        <v>819816.92999999993</v>
      </c>
      <c r="G216" s="18">
        <f>369799.21+2718.29+23633.36</f>
        <v>396150.86</v>
      </c>
      <c r="H216" s="18">
        <f>1466.88+1102.88+127246.91+832.04+16466.95</f>
        <v>147115.66</v>
      </c>
      <c r="I216" s="18">
        <f>401.29+2511.86+85.24+3969.9+1400</f>
        <v>8368.2900000000009</v>
      </c>
      <c r="J216" s="18">
        <f>696.77+896.17+2927.7+261.7+1000</f>
        <v>5782.3399999999992</v>
      </c>
      <c r="K216" s="18">
        <f>31661.96</f>
        <v>31661.96</v>
      </c>
      <c r="L216" s="19">
        <f>SUM(F216:K216)</f>
        <v>1408896.04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f>27751+26035</f>
        <v>53786</v>
      </c>
      <c r="G218" s="18">
        <f>5241.61+6964.87</f>
        <v>12206.48</v>
      </c>
      <c r="H218" s="18">
        <f>7684</f>
        <v>7684</v>
      </c>
      <c r="I218" s="18">
        <f>404.74+1419.04</f>
        <v>1823.78</v>
      </c>
      <c r="J218" s="18">
        <f>937.55+3306</f>
        <v>4243.55</v>
      </c>
      <c r="K218" s="18">
        <f>3614.92+5488</f>
        <v>9102.92</v>
      </c>
      <c r="L218" s="19">
        <f>SUM(F218:K218)</f>
        <v>88846.73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122554.7+64002+8760.1+38963.64+36619.23+24692.2+32881.23</f>
        <v>328473.09999999998</v>
      </c>
      <c r="G220" s="18">
        <f>7440.34+57590.6+29743.71+14026.45+27804.4+18246.17</f>
        <v>154851.66999999998</v>
      </c>
      <c r="H220" s="18">
        <f>8333.33+3176.67+1046.32+225.52+2042.1+11196.95+92.13</f>
        <v>26113.02</v>
      </c>
      <c r="I220" s="18">
        <f>841.19+3064.36+70.02+174.32+162.1</f>
        <v>4311.9900000000007</v>
      </c>
      <c r="J220" s="18">
        <f>382.53+590.38</f>
        <v>972.91</v>
      </c>
      <c r="K220" s="18">
        <v>0</v>
      </c>
      <c r="L220" s="19">
        <f t="shared" ref="L220:L226" si="2">SUM(F220:K220)</f>
        <v>514722.68999999994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f>1897.67+72300.98+8450.42+41309.99</f>
        <v>123959.06</v>
      </c>
      <c r="G221" s="18">
        <f>125.79+39723.79+21898.39</f>
        <v>61747.97</v>
      </c>
      <c r="H221" s="18">
        <f>1227.5+6325.12+4924.97+2739.98+1467.75+12208.23+15566.52</f>
        <v>44460.07</v>
      </c>
      <c r="I221" s="18">
        <f>275.9+1005.98+5439.94+3351.25</f>
        <v>10073.07</v>
      </c>
      <c r="J221" s="18">
        <f>5077.57+82257.61</f>
        <v>87335.18</v>
      </c>
      <c r="K221" s="18">
        <v>0</v>
      </c>
      <c r="L221" s="19">
        <f t="shared" si="2"/>
        <v>327575.34999999998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f>4381.67+66.67+400</f>
        <v>4848.34</v>
      </c>
      <c r="G222" s="18">
        <f>335.2+30.6</f>
        <v>365.8</v>
      </c>
      <c r="H222" s="18">
        <f>7369.59+6987.31+4046.67+246461.33</f>
        <v>264864.89999999997</v>
      </c>
      <c r="I222" s="18">
        <f>1772.08</f>
        <v>1772.08</v>
      </c>
      <c r="J222" s="18">
        <v>0</v>
      </c>
      <c r="K222" s="18">
        <f>9223.17+1824.83</f>
        <v>11048</v>
      </c>
      <c r="L222" s="19">
        <f t="shared" si="2"/>
        <v>282899.12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f>108354+86981.85+88371.66</f>
        <v>283707.51</v>
      </c>
      <c r="G223" s="18">
        <v>126529.35</v>
      </c>
      <c r="H223" s="18">
        <f>980+1304.33+2294.15+632.37</f>
        <v>5210.8499999999995</v>
      </c>
      <c r="I223" s="18">
        <f>380.67</f>
        <v>380.67</v>
      </c>
      <c r="J223" s="18">
        <v>0</v>
      </c>
      <c r="K223" s="18">
        <f>359</f>
        <v>359</v>
      </c>
      <c r="L223" s="19">
        <f t="shared" si="2"/>
        <v>416187.37999999995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f>96889.6+33155.96</f>
        <v>130045.56</v>
      </c>
      <c r="G225" s="18">
        <f>60538.06+21602.53</f>
        <v>82140.59</v>
      </c>
      <c r="H225" s="18">
        <f>628.33+10271.79+6265.13+2162.75+6394.87+2057.77+16234.54+144979.08+18338.58+36613.67+1610.85+21323.41+2044+1284.97</f>
        <v>270209.73999999993</v>
      </c>
      <c r="I225" s="18">
        <f>16529.41+31117.88+129547.28+298.81+958.31+907.36</f>
        <v>179359.05</v>
      </c>
      <c r="J225" s="18">
        <f>5598+934.57</f>
        <v>6532.57</v>
      </c>
      <c r="K225" s="18">
        <v>0</v>
      </c>
      <c r="L225" s="19">
        <f t="shared" si="2"/>
        <v>668287.50999999989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f>114637.73+20974.04+5722.75+7105.13+27563.47</f>
        <v>176003.12</v>
      </c>
      <c r="G226" s="18">
        <f>29660.22+2319.06+601.39+748.04+18597.16</f>
        <v>51925.869999999995</v>
      </c>
      <c r="H226" s="18">
        <f>712.25+60249.57+32024.06</f>
        <v>92985.88</v>
      </c>
      <c r="I226" s="18">
        <f>1747.37+43191.71</f>
        <v>44939.08</v>
      </c>
      <c r="J226" s="18">
        <f>3418.67+58560.65</f>
        <v>61979.32</v>
      </c>
      <c r="K226" s="18">
        <f>3888.6</f>
        <v>3888.6</v>
      </c>
      <c r="L226" s="19">
        <f t="shared" si="2"/>
        <v>431721.87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4211531.459999999</v>
      </c>
      <c r="G229" s="41">
        <f>SUM(G215:G228)</f>
        <v>1978900.2599999998</v>
      </c>
      <c r="H229" s="41">
        <f>SUM(H215:H228)</f>
        <v>889784.13999999978</v>
      </c>
      <c r="I229" s="41">
        <f>SUM(I215:I228)</f>
        <v>327203.37</v>
      </c>
      <c r="J229" s="41">
        <f>SUM(J215:J228)</f>
        <v>180666.84</v>
      </c>
      <c r="K229" s="41">
        <f t="shared" si="3"/>
        <v>57202.479999999996</v>
      </c>
      <c r="L229" s="41">
        <f t="shared" si="3"/>
        <v>7645288.5499999998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3055748.15+14684.53+70638.1</f>
        <v>3141070.78</v>
      </c>
      <c r="G233" s="18">
        <f>14739.19+1483321.38</f>
        <v>1498060.5699999998</v>
      </c>
      <c r="H233" s="18">
        <f>70.5+30590.23+6144.34</f>
        <v>36805.07</v>
      </c>
      <c r="I233" s="18">
        <f>10023.68+631.8+5409.75+6849.25+7495.42+1856.02+7839.9+13398.55+20862.52+27977.35+438.26+2506.19+1930.44+853.23</f>
        <v>108072.35999999999</v>
      </c>
      <c r="J233" s="18">
        <f>7400+9566.48+530.86</f>
        <v>17497.34</v>
      </c>
      <c r="K233" s="18">
        <f>4873</f>
        <v>4873</v>
      </c>
      <c r="L233" s="19">
        <f>SUM(F233:K233)</f>
        <v>4806379.12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338608.52+372680.39+17659.52</f>
        <v>728948.43</v>
      </c>
      <c r="G234" s="18">
        <f>369981.99</f>
        <v>369981.99</v>
      </c>
      <c r="H234" s="18">
        <f>5786.59+1458.69+168299.03+1100.48+613903.29</f>
        <v>790548.08000000007</v>
      </c>
      <c r="I234" s="18">
        <f>530.75+2805.94+348.58+3057.02+0.02</f>
        <v>6742.31</v>
      </c>
      <c r="J234" s="18">
        <f>743.89+1185.28+4275.17+439.98+1000</f>
        <v>7644.32</v>
      </c>
      <c r="K234" s="18">
        <f>41876.67</f>
        <v>41876.67</v>
      </c>
      <c r="L234" s="19">
        <f>SUM(F234:K234)</f>
        <v>1945741.8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0</v>
      </c>
      <c r="G235" s="18">
        <v>0</v>
      </c>
      <c r="H235" s="18">
        <v>66207.240000000005</v>
      </c>
      <c r="I235" s="18">
        <v>0</v>
      </c>
      <c r="J235" s="18">
        <v>0</v>
      </c>
      <c r="K235" s="18">
        <v>0</v>
      </c>
      <c r="L235" s="19">
        <f>SUM(F235:K235)</f>
        <v>66207.240000000005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f>48171+75664.15+171697+8400</f>
        <v>303932.15000000002</v>
      </c>
      <c r="G236" s="18">
        <f>9098.54+66173.95+2119.74</f>
        <v>77392.23</v>
      </c>
      <c r="H236" s="18">
        <f>4108.78+53893.8+2430.96+34703.1+1520-1796.88</f>
        <v>94859.76</v>
      </c>
      <c r="I236" s="18">
        <f>7134.1+20410.2</f>
        <v>27544.300000000003</v>
      </c>
      <c r="J236" s="18">
        <f>12945</f>
        <v>12945</v>
      </c>
      <c r="K236" s="18">
        <f>4118+500+7349</f>
        <v>11967</v>
      </c>
      <c r="L236" s="19">
        <f>SUM(F236:K236)</f>
        <v>528640.43999999994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210838.3+46865.66+64002+38963.64+36619.23+24692.2+32881.23</f>
        <v>454862.25999999995</v>
      </c>
      <c r="G238" s="18">
        <f>7440.33+121099.62+26162.75+14026.46+27804.39+18246.15</f>
        <v>214779.69999999998</v>
      </c>
      <c r="H238" s="18">
        <f>8333.34+4673+2038.08+70+249+3176.67+1383.89+225.52+2042.1+11196.95+92.13</f>
        <v>33480.68</v>
      </c>
      <c r="I238" s="18">
        <f>2328.44+276.99+4626+2057.71+9+92.61+174.32+162.1</f>
        <v>9727.17</v>
      </c>
      <c r="J238" s="18">
        <f>382.53+590.38</f>
        <v>972.91</v>
      </c>
      <c r="K238" s="18">
        <f>230+150</f>
        <v>380</v>
      </c>
      <c r="L238" s="19">
        <f t="shared" ref="L238:L244" si="4">SUM(F238:K238)</f>
        <v>714202.72000000009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f>1897.67+75959.32+18473.33+85924.77</f>
        <v>182255.09000000003</v>
      </c>
      <c r="G239" s="18">
        <f>125.78+46453.96+45548.64</f>
        <v>92128.38</v>
      </c>
      <c r="H239" s="18">
        <f>5548.52+5990.49+12665.1+1941.27+16146.82+20588.56</f>
        <v>62880.759999999995</v>
      </c>
      <c r="I239" s="18">
        <f>3442.06+4609.57+38791.09+296.41</f>
        <v>47139.13</v>
      </c>
      <c r="J239" s="18">
        <f>992.9+108795.38</f>
        <v>109788.28</v>
      </c>
      <c r="K239" s="18">
        <f>673.25</f>
        <v>673.25</v>
      </c>
      <c r="L239" s="19">
        <f t="shared" si="4"/>
        <v>494864.89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f>4381.67+66.67+400</f>
        <v>4848.34</v>
      </c>
      <c r="G240" s="18">
        <f>335.2+30.6</f>
        <v>365.8</v>
      </c>
      <c r="H240" s="18">
        <f>7369.59+6987.31+4046.67+246461.33</f>
        <v>264864.89999999997</v>
      </c>
      <c r="I240" s="18">
        <f>1772.08</f>
        <v>1772.08</v>
      </c>
      <c r="J240" s="18">
        <v>0</v>
      </c>
      <c r="K240" s="18">
        <f>9223.17+1824.84</f>
        <v>11048.01</v>
      </c>
      <c r="L240" s="19">
        <f t="shared" si="4"/>
        <v>282899.13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f>109836+103025.96+89594.7</f>
        <v>302456.66000000003</v>
      </c>
      <c r="G241" s="18">
        <v>134891.19</v>
      </c>
      <c r="H241" s="18">
        <f>2472.19+11641.78+5705.5+3916.18+134.08</f>
        <v>23869.730000000003</v>
      </c>
      <c r="I241" s="18">
        <f>1251.83</f>
        <v>1251.83</v>
      </c>
      <c r="J241" s="18">
        <f>1182.18</f>
        <v>1182.18</v>
      </c>
      <c r="K241" s="18">
        <f>1517.44+6713.51</f>
        <v>8230.9500000000007</v>
      </c>
      <c r="L241" s="19">
        <f t="shared" si="4"/>
        <v>471882.54000000004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f>199716.5+100033.03</f>
        <v>299749.53000000003</v>
      </c>
      <c r="G243" s="18">
        <f>124785.82+65175.79</f>
        <v>189961.61000000002</v>
      </c>
      <c r="H243" s="18">
        <f>894.19+12796.33+8670.47+848.1+3637.66+23074.94+3798.82+225+10834.2+55995.48+30088.45+100+41320.15+8591.19+51198.63+3649+11.12+90000</f>
        <v>345733.73</v>
      </c>
      <c r="I243" s="18">
        <f>33829.13+85101.58+212550.63+131.39+5110.96+4839.27</f>
        <v>341562.96</v>
      </c>
      <c r="J243" s="18">
        <f>1688.21</f>
        <v>1688.21</v>
      </c>
      <c r="K243" s="18">
        <v>0</v>
      </c>
      <c r="L243" s="19">
        <f t="shared" si="4"/>
        <v>1178696.04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f>11459.43+35273.15+20974.04+11885.72+20525.93+8481.07</f>
        <v>108599.34</v>
      </c>
      <c r="G244" s="18">
        <f>1254.34+9126.22+2319.06+1249.04+2161+5722.18</f>
        <v>21831.84</v>
      </c>
      <c r="H244" s="18">
        <f>219.15+60249.57+20083.4+9853.56</f>
        <v>90405.68</v>
      </c>
      <c r="I244" s="18">
        <f>537.65+13289.76</f>
        <v>13827.41</v>
      </c>
      <c r="J244" s="18">
        <f>3418.67+18018.66</f>
        <v>21437.33</v>
      </c>
      <c r="K244" s="18">
        <f>1196.49</f>
        <v>1196.49</v>
      </c>
      <c r="L244" s="19">
        <f t="shared" si="4"/>
        <v>257298.08999999997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5526722.5800000001</v>
      </c>
      <c r="G247" s="41">
        <f t="shared" si="5"/>
        <v>2599393.3099999991</v>
      </c>
      <c r="H247" s="41">
        <f t="shared" si="5"/>
        <v>1809655.63</v>
      </c>
      <c r="I247" s="41">
        <f t="shared" si="5"/>
        <v>557639.55000000005</v>
      </c>
      <c r="J247" s="41">
        <f t="shared" si="5"/>
        <v>173155.57</v>
      </c>
      <c r="K247" s="41">
        <f t="shared" si="5"/>
        <v>80245.37</v>
      </c>
      <c r="L247" s="41">
        <f t="shared" si="5"/>
        <v>10746812.009999998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14109456.6</v>
      </c>
      <c r="G257" s="41">
        <f t="shared" si="8"/>
        <v>6664583.629999999</v>
      </c>
      <c r="H257" s="41">
        <f t="shared" si="8"/>
        <v>3610486.05</v>
      </c>
      <c r="I257" s="41">
        <f t="shared" si="8"/>
        <v>1174804.94</v>
      </c>
      <c r="J257" s="41">
        <f t="shared" si="8"/>
        <v>549045.64999999991</v>
      </c>
      <c r="K257" s="41">
        <f t="shared" si="8"/>
        <v>188721.68</v>
      </c>
      <c r="L257" s="41">
        <f t="shared" si="8"/>
        <v>26297098.549999997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200000</v>
      </c>
      <c r="L260" s="19">
        <f>SUM(F260:K260)</f>
        <v>200000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84300</v>
      </c>
      <c r="L261" s="19">
        <f>SUM(F261:K261)</f>
        <v>84300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0</v>
      </c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0</v>
      </c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0</v>
      </c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375550</v>
      </c>
      <c r="L266" s="19">
        <f t="shared" si="9"/>
        <v>375550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0</v>
      </c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>
        <v>0</v>
      </c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659850</v>
      </c>
      <c r="L270" s="41">
        <f t="shared" si="9"/>
        <v>659850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14109456.6</v>
      </c>
      <c r="G271" s="42">
        <f t="shared" si="11"/>
        <v>6664583.629999999</v>
      </c>
      <c r="H271" s="42">
        <f t="shared" si="11"/>
        <v>3610486.05</v>
      </c>
      <c r="I271" s="42">
        <f t="shared" si="11"/>
        <v>1174804.94</v>
      </c>
      <c r="J271" s="42">
        <f t="shared" si="11"/>
        <v>549045.64999999991</v>
      </c>
      <c r="K271" s="42">
        <f t="shared" si="11"/>
        <v>848571.67999999993</v>
      </c>
      <c r="L271" s="42">
        <f t="shared" si="11"/>
        <v>26956948.549999997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9692.33+37100</f>
        <v>46792.33</v>
      </c>
      <c r="G276" s="18">
        <f>741.45+19239+1854+2838.15+6440.56+66.78</f>
        <v>31179.940000000002</v>
      </c>
      <c r="H276" s="18">
        <v>0</v>
      </c>
      <c r="I276" s="18">
        <v>0</v>
      </c>
      <c r="J276" s="18">
        <v>0</v>
      </c>
      <c r="K276" s="18">
        <f>114.77+16.76+1824.64+2219.62</f>
        <v>4175.79</v>
      </c>
      <c r="L276" s="19">
        <f>SUM(F276:K276)</f>
        <v>82148.06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2067.5+11780+19410+4000+19565+43735</f>
        <v>100557.5</v>
      </c>
      <c r="G277" s="18">
        <f>7380.68</f>
        <v>7380.68</v>
      </c>
      <c r="H277" s="18">
        <f>4867.73+200+125+495+280.05+5055.91+25.38+6770.9</f>
        <v>17819.969999999998</v>
      </c>
      <c r="I277" s="18">
        <f>453.34+1152.99+143.24+322.11+4204.74</f>
        <v>6276.42</v>
      </c>
      <c r="J277" s="18">
        <f>2068.17+2209.53</f>
        <v>4277.7000000000007</v>
      </c>
      <c r="K277" s="18">
        <f>492.42+3711.85+11.12</f>
        <v>4215.3899999999994</v>
      </c>
      <c r="L277" s="19">
        <f>SUM(F277:K277)</f>
        <v>140527.66000000003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0</v>
      </c>
      <c r="G281" s="18">
        <v>0</v>
      </c>
      <c r="H281" s="18">
        <f>1296.67+1311.61</f>
        <v>2608.2799999999997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2608.2799999999997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0</v>
      </c>
      <c r="G282" s="18">
        <v>0</v>
      </c>
      <c r="H282" s="18">
        <v>475</v>
      </c>
      <c r="I282" s="18">
        <v>191.67</v>
      </c>
      <c r="J282" s="18">
        <v>0</v>
      </c>
      <c r="K282" s="18">
        <v>0</v>
      </c>
      <c r="L282" s="19">
        <f t="shared" si="12"/>
        <v>666.67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147349.83000000002</v>
      </c>
      <c r="G290" s="42">
        <f t="shared" si="13"/>
        <v>38560.620000000003</v>
      </c>
      <c r="H290" s="42">
        <f t="shared" si="13"/>
        <v>20903.249999999996</v>
      </c>
      <c r="I290" s="42">
        <f t="shared" si="13"/>
        <v>6468.09</v>
      </c>
      <c r="J290" s="42">
        <f t="shared" si="13"/>
        <v>4277.7000000000007</v>
      </c>
      <c r="K290" s="42">
        <f t="shared" si="13"/>
        <v>8391.18</v>
      </c>
      <c r="L290" s="41">
        <f t="shared" si="13"/>
        <v>225950.67000000004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f>9692.33</f>
        <v>9692.33</v>
      </c>
      <c r="G295" s="18">
        <v>741.45</v>
      </c>
      <c r="H295" s="18">
        <v>0</v>
      </c>
      <c r="I295" s="18">
        <v>0</v>
      </c>
      <c r="J295" s="18">
        <v>0</v>
      </c>
      <c r="K295" s="18">
        <v>114.77</v>
      </c>
      <c r="L295" s="19">
        <f>SUM(F295:K295)</f>
        <v>10548.550000000001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f>4000+19565+38005.5</f>
        <v>61570.5</v>
      </c>
      <c r="G296" s="18">
        <f>4314.2</f>
        <v>4314.2</v>
      </c>
      <c r="H296" s="18">
        <f>5055.91+6770.9</f>
        <v>11826.81</v>
      </c>
      <c r="I296" s="18">
        <f>322.11+4204.74</f>
        <v>4526.8499999999995</v>
      </c>
      <c r="J296" s="18">
        <f>2068.17+2209.53</f>
        <v>4277.7000000000007</v>
      </c>
      <c r="K296" s="18">
        <f>492.42+2534.05</f>
        <v>3026.4700000000003</v>
      </c>
      <c r="L296" s="19">
        <f>SUM(F296:K296)</f>
        <v>89542.53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971.75</v>
      </c>
      <c r="K298" s="18">
        <v>0</v>
      </c>
      <c r="L298" s="19">
        <f>SUM(F298:K298)</f>
        <v>971.75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0</v>
      </c>
      <c r="G300" s="18">
        <v>0</v>
      </c>
      <c r="H300" s="18">
        <f>1296.67+1311.61</f>
        <v>2608.2799999999997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2608.2799999999997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0</v>
      </c>
      <c r="G301" s="18">
        <v>0</v>
      </c>
      <c r="H301" s="18">
        <v>475</v>
      </c>
      <c r="I301" s="18">
        <v>191.67</v>
      </c>
      <c r="J301" s="18">
        <v>0</v>
      </c>
      <c r="K301" s="18">
        <v>0</v>
      </c>
      <c r="L301" s="19">
        <f t="shared" si="14"/>
        <v>666.67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71262.83</v>
      </c>
      <c r="G309" s="42">
        <f t="shared" si="15"/>
        <v>5055.6499999999996</v>
      </c>
      <c r="H309" s="42">
        <f t="shared" si="15"/>
        <v>14910.09</v>
      </c>
      <c r="I309" s="42">
        <f t="shared" si="15"/>
        <v>4718.5199999999995</v>
      </c>
      <c r="J309" s="42">
        <f t="shared" si="15"/>
        <v>5249.4500000000007</v>
      </c>
      <c r="K309" s="42">
        <f t="shared" si="15"/>
        <v>3141.2400000000002</v>
      </c>
      <c r="L309" s="41">
        <f t="shared" si="15"/>
        <v>104337.78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f>9692.34</f>
        <v>9692.34</v>
      </c>
      <c r="G314" s="18">
        <v>741.45</v>
      </c>
      <c r="H314" s="18">
        <v>0</v>
      </c>
      <c r="I314" s="18">
        <v>0</v>
      </c>
      <c r="J314" s="18">
        <v>0</v>
      </c>
      <c r="K314" s="18">
        <v>114.76</v>
      </c>
      <c r="L314" s="19">
        <f>SUM(F314:K314)</f>
        <v>10548.550000000001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f>19565+38005.5</f>
        <v>57570.5</v>
      </c>
      <c r="G315" s="18">
        <f>4314.2</f>
        <v>4314.2</v>
      </c>
      <c r="H315" s="18">
        <f>5055.91+6770.9</f>
        <v>11826.81</v>
      </c>
      <c r="I315" s="18">
        <f>322.11+4204.74</f>
        <v>4526.8499999999995</v>
      </c>
      <c r="J315" s="18">
        <f>2068.17+2209.53</f>
        <v>4277.7000000000007</v>
      </c>
      <c r="K315" s="18">
        <f>492.42+2534.02</f>
        <v>3026.44</v>
      </c>
      <c r="L315" s="19">
        <f>SUM(F315:K315)</f>
        <v>85542.5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0</v>
      </c>
      <c r="G319" s="18">
        <v>0</v>
      </c>
      <c r="H319" s="18">
        <f>1296.67+1311.61</f>
        <v>2608.2799999999997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2608.2799999999997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0</v>
      </c>
      <c r="G320" s="18">
        <v>0</v>
      </c>
      <c r="H320" s="18">
        <v>475</v>
      </c>
      <c r="I320" s="18">
        <v>191.66</v>
      </c>
      <c r="J320" s="18">
        <v>0</v>
      </c>
      <c r="K320" s="18">
        <v>0</v>
      </c>
      <c r="L320" s="19">
        <f t="shared" si="16"/>
        <v>666.66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67262.84</v>
      </c>
      <c r="G328" s="42">
        <f t="shared" si="17"/>
        <v>5055.6499999999996</v>
      </c>
      <c r="H328" s="42">
        <f t="shared" si="17"/>
        <v>14910.09</v>
      </c>
      <c r="I328" s="42">
        <f t="shared" si="17"/>
        <v>4718.5099999999993</v>
      </c>
      <c r="J328" s="42">
        <f t="shared" si="17"/>
        <v>4277.7000000000007</v>
      </c>
      <c r="K328" s="42">
        <f t="shared" si="17"/>
        <v>3141.2000000000003</v>
      </c>
      <c r="L328" s="41">
        <f t="shared" si="17"/>
        <v>99365.99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285875.5</v>
      </c>
      <c r="G338" s="41">
        <f t="shared" si="20"/>
        <v>48671.920000000006</v>
      </c>
      <c r="H338" s="41">
        <f t="shared" si="20"/>
        <v>50723.429999999993</v>
      </c>
      <c r="I338" s="41">
        <f t="shared" si="20"/>
        <v>15905.119999999999</v>
      </c>
      <c r="J338" s="41">
        <f t="shared" si="20"/>
        <v>13804.850000000002</v>
      </c>
      <c r="K338" s="41">
        <f t="shared" si="20"/>
        <v>14673.62</v>
      </c>
      <c r="L338" s="41">
        <f t="shared" si="20"/>
        <v>429654.44000000006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>
        <v>0</v>
      </c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>
        <v>0</v>
      </c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285875.5</v>
      </c>
      <c r="G352" s="41">
        <f>G338</f>
        <v>48671.920000000006</v>
      </c>
      <c r="H352" s="41">
        <f>H338</f>
        <v>50723.429999999993</v>
      </c>
      <c r="I352" s="41">
        <f>I338</f>
        <v>15905.119999999999</v>
      </c>
      <c r="J352" s="41">
        <f>J338</f>
        <v>13804.850000000002</v>
      </c>
      <c r="K352" s="47">
        <f>K338+K351</f>
        <v>14673.62</v>
      </c>
      <c r="L352" s="41">
        <f>L338+L351</f>
        <v>429654.44000000006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47173.74</v>
      </c>
      <c r="G358" s="18">
        <v>26014.73</v>
      </c>
      <c r="H358" s="18">
        <v>4125.05</v>
      </c>
      <c r="I358" s="18">
        <v>81393.72</v>
      </c>
      <c r="J358" s="18">
        <v>696.08</v>
      </c>
      <c r="K358" s="18">
        <v>0</v>
      </c>
      <c r="L358" s="13">
        <f>SUM(F358:K358)</f>
        <v>159403.31999999998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58928.7</v>
      </c>
      <c r="G359" s="18">
        <v>32497.200000000001</v>
      </c>
      <c r="H359" s="18">
        <v>5152.95</v>
      </c>
      <c r="I359" s="18">
        <v>101675.76</v>
      </c>
      <c r="J359" s="18">
        <v>869.53</v>
      </c>
      <c r="K359" s="18">
        <v>0</v>
      </c>
      <c r="L359" s="19">
        <f>SUM(F359:K359)</f>
        <v>199124.13999999998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97046.65</v>
      </c>
      <c r="G360" s="18">
        <v>53517.96</v>
      </c>
      <c r="H360" s="18">
        <v>8486.1299999999992</v>
      </c>
      <c r="I360" s="18">
        <v>167444.57999999999</v>
      </c>
      <c r="J360" s="18">
        <v>1431.99</v>
      </c>
      <c r="K360" s="18">
        <v>0</v>
      </c>
      <c r="L360" s="19">
        <f>SUM(F360:K360)</f>
        <v>327927.30999999994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>
        <v>0</v>
      </c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203149.09</v>
      </c>
      <c r="G362" s="47">
        <f t="shared" si="22"/>
        <v>112029.89</v>
      </c>
      <c r="H362" s="47">
        <f t="shared" si="22"/>
        <v>17764.129999999997</v>
      </c>
      <c r="I362" s="47">
        <f t="shared" si="22"/>
        <v>350514.05999999994</v>
      </c>
      <c r="J362" s="47">
        <f t="shared" si="22"/>
        <v>2997.6000000000004</v>
      </c>
      <c r="K362" s="47">
        <f t="shared" si="22"/>
        <v>0</v>
      </c>
      <c r="L362" s="47">
        <f t="shared" si="22"/>
        <v>686454.7699999999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I358-9490.76</f>
        <v>71902.960000000006</v>
      </c>
      <c r="G367" s="18">
        <f>I359-11855.7</f>
        <v>89820.06</v>
      </c>
      <c r="H367" s="18">
        <f>I360-19524.55</f>
        <v>147920.03</v>
      </c>
      <c r="I367" s="56">
        <f>SUM(F367:H367)</f>
        <v>309643.05000000005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9490.76</v>
      </c>
      <c r="G368" s="63">
        <v>11855.7</v>
      </c>
      <c r="H368" s="63">
        <v>19524.55</v>
      </c>
      <c r="I368" s="56">
        <f>SUM(F368:H368)</f>
        <v>40871.009999999995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81393.72</v>
      </c>
      <c r="G369" s="47">
        <f>SUM(G367:G368)</f>
        <v>101675.76</v>
      </c>
      <c r="H369" s="47">
        <f>SUM(H367:H368)</f>
        <v>167444.57999999999</v>
      </c>
      <c r="I369" s="47">
        <f>SUM(I367:I368)</f>
        <v>350514.06000000006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>
        <v>0</v>
      </c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>
        <v>0</v>
      </c>
      <c r="G387" s="18">
        <v>0</v>
      </c>
      <c r="H387" s="18">
        <v>0</v>
      </c>
      <c r="I387" s="18">
        <v>0</v>
      </c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>
        <v>0</v>
      </c>
      <c r="G389" s="18">
        <v>375550</v>
      </c>
      <c r="H389" s="18">
        <f>32534.45-29636.17-3963.64</f>
        <v>-1065.3599999999974</v>
      </c>
      <c r="I389" s="18">
        <v>0</v>
      </c>
      <c r="J389" s="24" t="s">
        <v>286</v>
      </c>
      <c r="K389" s="24" t="s">
        <v>286</v>
      </c>
      <c r="L389" s="56">
        <f t="shared" si="25"/>
        <v>374484.64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375550</v>
      </c>
      <c r="H393" s="139">
        <f>SUM(H387:H392)</f>
        <v>-1065.3599999999974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374484.64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>
        <v>0</v>
      </c>
      <c r="G400" s="18">
        <v>0</v>
      </c>
      <c r="H400" s="18">
        <v>0</v>
      </c>
      <c r="I400" s="18">
        <v>0</v>
      </c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375550</v>
      </c>
      <c r="H408" s="47">
        <f>H393+H401+H407</f>
        <v>-1065.3599999999974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374484.64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>
        <v>0</v>
      </c>
      <c r="G422" s="18">
        <v>0</v>
      </c>
      <c r="H422" s="18">
        <f>75443.61+27706.39</f>
        <v>103150</v>
      </c>
      <c r="I422" s="18">
        <v>0</v>
      </c>
      <c r="J422" s="18">
        <v>0</v>
      </c>
      <c r="K422" s="18">
        <v>0</v>
      </c>
      <c r="L422" s="56">
        <f t="shared" si="29"/>
        <v>103150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103150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103150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103150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103150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f>1871857.61-370253.46</f>
        <v>1501604.1500000001</v>
      </c>
      <c r="G440" s="18">
        <f>370253.46</f>
        <v>370253.46</v>
      </c>
      <c r="H440" s="18">
        <v>0</v>
      </c>
      <c r="I440" s="56">
        <f t="shared" si="33"/>
        <v>1871857.61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1501604.1500000001</v>
      </c>
      <c r="G446" s="13">
        <f>SUM(G439:G445)</f>
        <v>370253.46</v>
      </c>
      <c r="H446" s="13">
        <f>SUM(H439:H445)</f>
        <v>0</v>
      </c>
      <c r="I446" s="13">
        <f>SUM(I439:I445)</f>
        <v>1871857.61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1501604.15</v>
      </c>
      <c r="G459" s="18">
        <v>370253.46</v>
      </c>
      <c r="H459" s="18">
        <v>0</v>
      </c>
      <c r="I459" s="56">
        <f t="shared" si="34"/>
        <v>1871857.6099999999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1501604.15</v>
      </c>
      <c r="G460" s="83">
        <f>SUM(G454:G459)</f>
        <v>370253.46</v>
      </c>
      <c r="H460" s="83">
        <f>SUM(H454:H459)</f>
        <v>0</v>
      </c>
      <c r="I460" s="83">
        <f>SUM(I454:I459)</f>
        <v>1871857.6099999999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1501604.15</v>
      </c>
      <c r="G461" s="42">
        <f>G452+G460</f>
        <v>370253.46</v>
      </c>
      <c r="H461" s="42">
        <f>H452+H460</f>
        <v>0</v>
      </c>
      <c r="I461" s="42">
        <f>I452+I460</f>
        <v>1871857.6099999999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992680.03</v>
      </c>
      <c r="G465" s="18">
        <v>172171.91</v>
      </c>
      <c r="H465" s="18">
        <v>0</v>
      </c>
      <c r="I465" s="18">
        <v>0</v>
      </c>
      <c r="J465" s="18">
        <v>1600522.97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26877471.27</v>
      </c>
      <c r="G468" s="18">
        <f>G193</f>
        <v>755083.4</v>
      </c>
      <c r="H468" s="18">
        <f>H193</f>
        <v>429654.43999999994</v>
      </c>
      <c r="I468" s="18">
        <f>I193</f>
        <v>0</v>
      </c>
      <c r="J468" s="18">
        <f>L408</f>
        <v>374484.64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26877471.27</v>
      </c>
      <c r="G470" s="53">
        <f>SUM(G468:G469)</f>
        <v>755083.4</v>
      </c>
      <c r="H470" s="53">
        <f>SUM(H468:H469)</f>
        <v>429654.43999999994</v>
      </c>
      <c r="I470" s="53">
        <f>SUM(I468:I469)</f>
        <v>0</v>
      </c>
      <c r="J470" s="53">
        <f>SUM(J468:J469)</f>
        <v>374484.64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26956948.549999997</v>
      </c>
      <c r="G472" s="18">
        <f>L362</f>
        <v>686454.7699999999</v>
      </c>
      <c r="H472" s="18">
        <f>L352</f>
        <v>429654.44000000006</v>
      </c>
      <c r="I472" s="18">
        <f>L382</f>
        <v>0</v>
      </c>
      <c r="J472" s="18">
        <f>L434</f>
        <v>103150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26956948.549999997</v>
      </c>
      <c r="G474" s="53">
        <f>SUM(G472:G473)</f>
        <v>686454.7699999999</v>
      </c>
      <c r="H474" s="53">
        <f>SUM(H472:H473)</f>
        <v>429654.44000000006</v>
      </c>
      <c r="I474" s="53">
        <f>SUM(I472:I473)</f>
        <v>0</v>
      </c>
      <c r="J474" s="53">
        <f>SUM(J472:J473)</f>
        <v>103150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913202.75000000373</v>
      </c>
      <c r="G476" s="53">
        <f>(G465+G470)- G474</f>
        <v>240800.54000000015</v>
      </c>
      <c r="H476" s="53">
        <f>(H465+H470)- H474</f>
        <v>0</v>
      </c>
      <c r="I476" s="53">
        <f>(I465+I470)- I474</f>
        <v>0</v>
      </c>
      <c r="J476" s="53">
        <f>(J465+J470)- J474</f>
        <v>1871857.6099999999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4027000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4.4000000000000004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2000000</v>
      </c>
      <c r="G495" s="18"/>
      <c r="H495" s="18"/>
      <c r="I495" s="18"/>
      <c r="J495" s="18"/>
      <c r="K495" s="53">
        <f>SUM(F495:J495)</f>
        <v>2000000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200000</v>
      </c>
      <c r="G497" s="18"/>
      <c r="H497" s="18"/>
      <c r="I497" s="18"/>
      <c r="J497" s="18"/>
      <c r="K497" s="53">
        <f t="shared" si="35"/>
        <v>200000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f>F495-F497</f>
        <v>1800000</v>
      </c>
      <c r="G498" s="204"/>
      <c r="H498" s="204"/>
      <c r="I498" s="204"/>
      <c r="J498" s="204"/>
      <c r="K498" s="205">
        <f t="shared" si="35"/>
        <v>1800000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f>758761-44300-40000</f>
        <v>674461</v>
      </c>
      <c r="G499" s="18"/>
      <c r="H499" s="18"/>
      <c r="I499" s="18"/>
      <c r="J499" s="18"/>
      <c r="K499" s="53">
        <f t="shared" si="35"/>
        <v>674461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2474461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2474461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200000</v>
      </c>
      <c r="G501" s="204"/>
      <c r="H501" s="204"/>
      <c r="I501" s="204"/>
      <c r="J501" s="204"/>
      <c r="K501" s="205">
        <f t="shared" si="35"/>
        <v>200000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75700</v>
      </c>
      <c r="G502" s="18"/>
      <c r="H502" s="18"/>
      <c r="I502" s="18"/>
      <c r="J502" s="18"/>
      <c r="K502" s="53">
        <f t="shared" si="35"/>
        <v>75700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275700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275700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F198+F277-F557-F562-F567</f>
        <v>911296.94</v>
      </c>
      <c r="G521" s="18">
        <f t="shared" ref="G521:K521" si="36">G198+G277-G557-G562-G567</f>
        <v>418876.17</v>
      </c>
      <c r="H521" s="18">
        <f t="shared" si="36"/>
        <v>334845.18999999994</v>
      </c>
      <c r="I521" s="18">
        <f t="shared" si="36"/>
        <v>8471.0800000000017</v>
      </c>
      <c r="J521" s="18">
        <f t="shared" si="36"/>
        <v>9980.2500000000018</v>
      </c>
      <c r="K521" s="18">
        <f t="shared" si="36"/>
        <v>36668.21</v>
      </c>
      <c r="L521" s="88">
        <f>SUM(F521:K521)</f>
        <v>1720137.8399999999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f>F216+F296-F558-F563-F568</f>
        <v>790158.80999999994</v>
      </c>
      <c r="G522" s="18">
        <f t="shared" ref="G522:K522" si="37">G216+G296-G558-G563-G568</f>
        <v>374113.41000000003</v>
      </c>
      <c r="H522" s="18">
        <f t="shared" si="37"/>
        <v>158942.47</v>
      </c>
      <c r="I522" s="18">
        <f t="shared" si="37"/>
        <v>11495.14</v>
      </c>
      <c r="J522" s="18">
        <f t="shared" si="37"/>
        <v>10060.040000000001</v>
      </c>
      <c r="K522" s="18">
        <f t="shared" si="37"/>
        <v>34688.43</v>
      </c>
      <c r="L522" s="88">
        <f>SUM(F522:K522)</f>
        <v>1379458.2999999998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>F234+F315-F559-F564-F569</f>
        <v>786518.93</v>
      </c>
      <c r="G523" s="18">
        <f t="shared" ref="G523:K523" si="38">G234+G315-G559-G564-G569</f>
        <v>374296.19</v>
      </c>
      <c r="H523" s="18">
        <f t="shared" si="38"/>
        <v>802374.89000000013</v>
      </c>
      <c r="I523" s="18">
        <f t="shared" si="38"/>
        <v>11269.16</v>
      </c>
      <c r="J523" s="18">
        <f t="shared" si="38"/>
        <v>11922.02</v>
      </c>
      <c r="K523" s="18">
        <f t="shared" si="38"/>
        <v>44903.11</v>
      </c>
      <c r="L523" s="88">
        <f>SUM(F523:K523)</f>
        <v>2031284.3000000003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2487974.6800000002</v>
      </c>
      <c r="G524" s="108">
        <f t="shared" ref="G524:L524" si="39">SUM(G521:G523)</f>
        <v>1167285.77</v>
      </c>
      <c r="H524" s="108">
        <f t="shared" si="39"/>
        <v>1296162.55</v>
      </c>
      <c r="I524" s="108">
        <f t="shared" si="39"/>
        <v>31235.38</v>
      </c>
      <c r="J524" s="108">
        <f t="shared" si="39"/>
        <v>31962.31</v>
      </c>
      <c r="K524" s="108">
        <f t="shared" si="39"/>
        <v>116259.75</v>
      </c>
      <c r="L524" s="89">
        <f t="shared" si="39"/>
        <v>5130880.4399999995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78351+291371.19+131524.92</f>
        <v>501247.11</v>
      </c>
      <c r="G526" s="18">
        <f>7440.34+28205.43+132135.23+72984.68</f>
        <v>240765.68</v>
      </c>
      <c r="H526" s="18">
        <f>1072.46+919.89+8329.79+44787.81+368.51+2608.28</f>
        <v>58086.74</v>
      </c>
      <c r="I526" s="18">
        <f>71.77+711.05+648.38</f>
        <v>1431.1999999999998</v>
      </c>
      <c r="J526" s="18">
        <f>1560.36+2361.51</f>
        <v>3921.87</v>
      </c>
      <c r="K526" s="18">
        <v>0</v>
      </c>
      <c r="L526" s="88">
        <f>SUM(F526:K526)</f>
        <v>805452.6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f>38963.64+61311.43+32881.23</f>
        <v>133156.30000000002</v>
      </c>
      <c r="G527" s="18">
        <f>7440.34+14026.45+27804.4+18246.17</f>
        <v>67517.36</v>
      </c>
      <c r="H527" s="18">
        <f>1046.32+225.52+2042.1+11196.95+92.13+2608.28</f>
        <v>17211.3</v>
      </c>
      <c r="I527" s="18">
        <f>70.02+174.32+162.1</f>
        <v>406.43999999999994</v>
      </c>
      <c r="J527" s="18">
        <f>382.53+590.38</f>
        <v>972.91</v>
      </c>
      <c r="K527" s="18">
        <v>0</v>
      </c>
      <c r="L527" s="88">
        <f>SUM(F527:K527)</f>
        <v>219264.31000000003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f>38963.64+61311.43+32881.23</f>
        <v>133156.30000000002</v>
      </c>
      <c r="G528" s="18">
        <f>7440.33+14026.45+27804.4+18246.17</f>
        <v>67517.350000000006</v>
      </c>
      <c r="H528" s="18">
        <f>1383.89+225.52+2042.1+11196.95+92.13+2608.28</f>
        <v>17548.87</v>
      </c>
      <c r="I528" s="18">
        <f>92.61+174.32+162.1</f>
        <v>429.03</v>
      </c>
      <c r="J528" s="18">
        <f>382.53+590.38</f>
        <v>972.91</v>
      </c>
      <c r="K528" s="18">
        <v>0</v>
      </c>
      <c r="L528" s="88">
        <f>SUM(F528:K528)</f>
        <v>219624.46000000002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767559.71000000008</v>
      </c>
      <c r="G529" s="89">
        <f t="shared" ref="G529:L529" si="40">SUM(G526:G528)</f>
        <v>375800.39</v>
      </c>
      <c r="H529" s="89">
        <f t="shared" si="40"/>
        <v>92846.909999999989</v>
      </c>
      <c r="I529" s="89">
        <f t="shared" si="40"/>
        <v>2266.67</v>
      </c>
      <c r="J529" s="89">
        <f t="shared" si="40"/>
        <v>5867.69</v>
      </c>
      <c r="K529" s="89">
        <f t="shared" si="40"/>
        <v>0</v>
      </c>
      <c r="L529" s="89">
        <f t="shared" si="40"/>
        <v>1244341.3700000001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44185.89</v>
      </c>
      <c r="G531" s="18">
        <v>21911.86</v>
      </c>
      <c r="H531" s="18">
        <v>49782</v>
      </c>
      <c r="I531" s="18">
        <v>0</v>
      </c>
      <c r="J531" s="18">
        <v>0</v>
      </c>
      <c r="K531" s="18">
        <v>0</v>
      </c>
      <c r="L531" s="88">
        <f>SUM(F531:K531)</f>
        <v>115879.75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44185.89</v>
      </c>
      <c r="G532" s="18">
        <v>21911.86</v>
      </c>
      <c r="H532" s="18">
        <v>49782</v>
      </c>
      <c r="I532" s="18">
        <v>0</v>
      </c>
      <c r="J532" s="18">
        <v>0</v>
      </c>
      <c r="K532" s="18">
        <v>0</v>
      </c>
      <c r="L532" s="88">
        <f>SUM(F532:K532)</f>
        <v>115879.75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0</v>
      </c>
      <c r="G533" s="18">
        <v>0</v>
      </c>
      <c r="H533" s="18">
        <v>49782</v>
      </c>
      <c r="I533" s="18"/>
      <c r="J533" s="18"/>
      <c r="K533" s="18"/>
      <c r="L533" s="88">
        <f>SUM(F533:K533)</f>
        <v>49782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88371.78</v>
      </c>
      <c r="G534" s="89">
        <f t="shared" ref="G534:L534" si="41">SUM(G531:G533)</f>
        <v>43823.72</v>
      </c>
      <c r="H534" s="89">
        <f t="shared" si="41"/>
        <v>149346</v>
      </c>
      <c r="I534" s="89">
        <f t="shared" si="41"/>
        <v>0</v>
      </c>
      <c r="J534" s="89">
        <f t="shared" si="41"/>
        <v>0</v>
      </c>
      <c r="K534" s="89">
        <f t="shared" si="41"/>
        <v>0</v>
      </c>
      <c r="L534" s="89">
        <f t="shared" si="41"/>
        <v>281541.5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>
        <v>0</v>
      </c>
      <c r="G536" s="18">
        <v>0</v>
      </c>
      <c r="H536" s="18">
        <v>5498.55</v>
      </c>
      <c r="I536" s="18">
        <v>0</v>
      </c>
      <c r="J536" s="18">
        <v>0</v>
      </c>
      <c r="K536" s="18">
        <v>0</v>
      </c>
      <c r="L536" s="88">
        <f>SUM(F536:K536)</f>
        <v>5498.55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>
        <v>0</v>
      </c>
      <c r="G537" s="18">
        <v>0</v>
      </c>
      <c r="H537" s="18">
        <v>5498.55</v>
      </c>
      <c r="I537" s="18">
        <v>0</v>
      </c>
      <c r="J537" s="18">
        <v>0</v>
      </c>
      <c r="K537" s="18">
        <v>0</v>
      </c>
      <c r="L537" s="88">
        <f>SUM(F537:K537)</f>
        <v>5498.55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>
        <v>0</v>
      </c>
      <c r="G538" s="18">
        <v>0</v>
      </c>
      <c r="H538" s="18">
        <v>5498.55</v>
      </c>
      <c r="I538" s="18">
        <v>0</v>
      </c>
      <c r="J538" s="18">
        <v>0</v>
      </c>
      <c r="K538" s="18">
        <v>0</v>
      </c>
      <c r="L538" s="88">
        <f>SUM(F538:K538)</f>
        <v>5498.55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2">SUM(G536:G538)</f>
        <v>0</v>
      </c>
      <c r="H539" s="89">
        <f t="shared" si="42"/>
        <v>16495.650000000001</v>
      </c>
      <c r="I539" s="89">
        <f t="shared" si="42"/>
        <v>0</v>
      </c>
      <c r="J539" s="89">
        <f t="shared" si="42"/>
        <v>0</v>
      </c>
      <c r="K539" s="89">
        <f t="shared" si="42"/>
        <v>0</v>
      </c>
      <c r="L539" s="89">
        <f t="shared" si="42"/>
        <v>16495.650000000001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v>20974.04</v>
      </c>
      <c r="G541" s="18">
        <v>2319.06</v>
      </c>
      <c r="H541" s="18">
        <v>60249.57</v>
      </c>
      <c r="I541" s="18">
        <v>0</v>
      </c>
      <c r="J541" s="18">
        <v>3418.67</v>
      </c>
      <c r="K541" s="18">
        <v>0</v>
      </c>
      <c r="L541" s="88">
        <f>SUM(F541:K541)</f>
        <v>86961.34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>
        <v>20974.04</v>
      </c>
      <c r="G542" s="18">
        <v>2319.06</v>
      </c>
      <c r="H542" s="18">
        <v>60249.57</v>
      </c>
      <c r="I542" s="18">
        <v>0</v>
      </c>
      <c r="J542" s="18">
        <v>3418.67</v>
      </c>
      <c r="K542" s="18">
        <v>0</v>
      </c>
      <c r="L542" s="88">
        <f>SUM(F542:K542)</f>
        <v>86961.34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v>20974.05</v>
      </c>
      <c r="G543" s="18">
        <v>2319.0500000000002</v>
      </c>
      <c r="H543" s="18">
        <v>60249.58</v>
      </c>
      <c r="I543" s="18">
        <v>0</v>
      </c>
      <c r="J543" s="18">
        <v>3418.66</v>
      </c>
      <c r="K543" s="18">
        <v>0</v>
      </c>
      <c r="L543" s="88">
        <f>SUM(F543:K543)</f>
        <v>86961.34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62922.130000000005</v>
      </c>
      <c r="G544" s="193">
        <f t="shared" ref="G544:L544" si="43">SUM(G541:G543)</f>
        <v>6957.17</v>
      </c>
      <c r="H544" s="193">
        <f t="shared" si="43"/>
        <v>180748.72</v>
      </c>
      <c r="I544" s="193">
        <f t="shared" si="43"/>
        <v>0</v>
      </c>
      <c r="J544" s="193">
        <f t="shared" si="43"/>
        <v>10256</v>
      </c>
      <c r="K544" s="193">
        <f t="shared" si="43"/>
        <v>0</v>
      </c>
      <c r="L544" s="193">
        <f t="shared" si="43"/>
        <v>260884.02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3406828.3</v>
      </c>
      <c r="G545" s="89">
        <f t="shared" ref="G545:L545" si="44">G524+G529+G534+G539+G544</f>
        <v>1593867.05</v>
      </c>
      <c r="H545" s="89">
        <f t="shared" si="44"/>
        <v>1735599.8299999998</v>
      </c>
      <c r="I545" s="89">
        <f t="shared" si="44"/>
        <v>33502.050000000003</v>
      </c>
      <c r="J545" s="89">
        <f t="shared" si="44"/>
        <v>48086</v>
      </c>
      <c r="K545" s="89">
        <f t="shared" si="44"/>
        <v>116259.75</v>
      </c>
      <c r="L545" s="89">
        <f t="shared" si="44"/>
        <v>6934142.9799999995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1720137.8399999999</v>
      </c>
      <c r="G549" s="87">
        <f>L526</f>
        <v>805452.6</v>
      </c>
      <c r="H549" s="87">
        <f>L531</f>
        <v>115879.75</v>
      </c>
      <c r="I549" s="87">
        <f>L536</f>
        <v>5498.55</v>
      </c>
      <c r="J549" s="87">
        <f>L541</f>
        <v>86961.34</v>
      </c>
      <c r="K549" s="87">
        <f>SUM(F549:J549)</f>
        <v>2733930.0799999996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1379458.2999999998</v>
      </c>
      <c r="G550" s="87">
        <f>L527</f>
        <v>219264.31000000003</v>
      </c>
      <c r="H550" s="87">
        <f>L532</f>
        <v>115879.75</v>
      </c>
      <c r="I550" s="87">
        <f>L537</f>
        <v>5498.55</v>
      </c>
      <c r="J550" s="87">
        <f>L542</f>
        <v>86961.34</v>
      </c>
      <c r="K550" s="87">
        <f>SUM(F550:J550)</f>
        <v>1807062.25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2031284.3000000003</v>
      </c>
      <c r="G551" s="87">
        <f>L528</f>
        <v>219624.46000000002</v>
      </c>
      <c r="H551" s="87">
        <f>L533</f>
        <v>49782</v>
      </c>
      <c r="I551" s="87">
        <f>L538</f>
        <v>5498.55</v>
      </c>
      <c r="J551" s="87">
        <f>L543</f>
        <v>86961.34</v>
      </c>
      <c r="K551" s="87">
        <f>SUM(F551:J551)</f>
        <v>2393150.65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5">SUM(F549:F551)</f>
        <v>5130880.4399999995</v>
      </c>
      <c r="G552" s="89">
        <f t="shared" si="45"/>
        <v>1244341.3700000001</v>
      </c>
      <c r="H552" s="89">
        <f t="shared" si="45"/>
        <v>281541.5</v>
      </c>
      <c r="I552" s="89">
        <f t="shared" si="45"/>
        <v>16495.650000000001</v>
      </c>
      <c r="J552" s="89">
        <f t="shared" si="45"/>
        <v>260884.02</v>
      </c>
      <c r="K552" s="89">
        <f t="shared" si="45"/>
        <v>6934142.9800000004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6">SUM(F557:F559)</f>
        <v>0</v>
      </c>
      <c r="G560" s="108">
        <f t="shared" si="46"/>
        <v>0</v>
      </c>
      <c r="H560" s="108">
        <f t="shared" si="46"/>
        <v>0</v>
      </c>
      <c r="I560" s="108">
        <f t="shared" si="46"/>
        <v>0</v>
      </c>
      <c r="J560" s="108">
        <f t="shared" si="46"/>
        <v>0</v>
      </c>
      <c r="K560" s="108">
        <f t="shared" si="46"/>
        <v>0</v>
      </c>
      <c r="L560" s="89">
        <f t="shared" si="46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14443.6</v>
      </c>
      <c r="G563" s="18">
        <v>2718.29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17161.89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7">SUM(F562:F564)</f>
        <v>14443.6</v>
      </c>
      <c r="G565" s="89">
        <f t="shared" si="47"/>
        <v>2718.29</v>
      </c>
      <c r="H565" s="89">
        <f t="shared" si="47"/>
        <v>0</v>
      </c>
      <c r="I565" s="89">
        <f t="shared" si="47"/>
        <v>0</v>
      </c>
      <c r="J565" s="89">
        <f t="shared" si="47"/>
        <v>0</v>
      </c>
      <c r="K565" s="89">
        <f t="shared" si="47"/>
        <v>0</v>
      </c>
      <c r="L565" s="89">
        <f t="shared" si="47"/>
        <v>17161.89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72916.08</v>
      </c>
      <c r="G567" s="18">
        <v>22442.560000000001</v>
      </c>
      <c r="H567" s="18">
        <v>0</v>
      </c>
      <c r="I567" s="18">
        <f>1592.8</f>
        <v>1592.8</v>
      </c>
      <c r="J567" s="18">
        <f>1904.76</f>
        <v>1904.76</v>
      </c>
      <c r="K567" s="18">
        <v>0</v>
      </c>
      <c r="L567" s="88">
        <f>SUM(F567:K567)</f>
        <v>98856.2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>
        <v>76785.02</v>
      </c>
      <c r="G568" s="18">
        <v>23633.360000000001</v>
      </c>
      <c r="H568" s="18">
        <v>0</v>
      </c>
      <c r="I568" s="18">
        <f>1400</f>
        <v>1400</v>
      </c>
      <c r="J568" s="18">
        <v>0</v>
      </c>
      <c r="K568" s="18">
        <v>0</v>
      </c>
      <c r="L568" s="88">
        <f>SUM(F568:K568)</f>
        <v>101818.38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149701.1</v>
      </c>
      <c r="G570" s="193">
        <f t="shared" ref="G570:L570" si="48">SUM(G567:G569)</f>
        <v>46075.92</v>
      </c>
      <c r="H570" s="193">
        <f t="shared" si="48"/>
        <v>0</v>
      </c>
      <c r="I570" s="193">
        <f t="shared" si="48"/>
        <v>2992.8</v>
      </c>
      <c r="J570" s="193">
        <f t="shared" si="48"/>
        <v>1904.76</v>
      </c>
      <c r="K570" s="193">
        <f t="shared" si="48"/>
        <v>0</v>
      </c>
      <c r="L570" s="193">
        <f t="shared" si="48"/>
        <v>200674.58000000002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164144.70000000001</v>
      </c>
      <c r="G571" s="89">
        <f t="shared" ref="G571:L571" si="49">G560+G565+G570</f>
        <v>48794.21</v>
      </c>
      <c r="H571" s="89">
        <f t="shared" si="49"/>
        <v>0</v>
      </c>
      <c r="I571" s="89">
        <f t="shared" si="49"/>
        <v>2992.8</v>
      </c>
      <c r="J571" s="89">
        <f t="shared" si="49"/>
        <v>1904.76</v>
      </c>
      <c r="K571" s="89">
        <f t="shared" si="49"/>
        <v>0</v>
      </c>
      <c r="L571" s="89">
        <f t="shared" si="49"/>
        <v>217836.47000000003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0</v>
      </c>
      <c r="G575" s="18">
        <v>0</v>
      </c>
      <c r="H575" s="18">
        <v>0</v>
      </c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50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>
        <v>0</v>
      </c>
      <c r="I577" s="87">
        <f t="shared" si="50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50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0</v>
      </c>
      <c r="G579" s="18">
        <v>0</v>
      </c>
      <c r="H579" s="18">
        <v>0</v>
      </c>
      <c r="I579" s="87">
        <f t="shared" si="50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50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0</v>
      </c>
      <c r="I581" s="87">
        <f t="shared" si="50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183666.63</v>
      </c>
      <c r="G582" s="18">
        <v>16466.95</v>
      </c>
      <c r="H582" s="18">
        <v>613903.29</v>
      </c>
      <c r="I582" s="87">
        <f t="shared" si="50"/>
        <v>814036.87000000011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50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>
        <v>0</v>
      </c>
      <c r="G584" s="18">
        <v>0</v>
      </c>
      <c r="H584" s="18">
        <v>66207.240000000005</v>
      </c>
      <c r="I584" s="87">
        <f t="shared" si="50"/>
        <v>66207.240000000005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50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>
        <v>0</v>
      </c>
      <c r="I586" s="87">
        <f t="shared" si="50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50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150646.17000000001</v>
      </c>
      <c r="I591" s="18">
        <v>150646.17000000001</v>
      </c>
      <c r="J591" s="18">
        <v>46352.67</v>
      </c>
      <c r="K591" s="104">
        <f t="shared" ref="K591:K597" si="51">SUM(H591:J591)</f>
        <v>347645.01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86961.34</v>
      </c>
      <c r="I592" s="18">
        <v>86961.34</v>
      </c>
      <c r="J592" s="18">
        <v>86961.34</v>
      </c>
      <c r="K592" s="104">
        <f t="shared" si="51"/>
        <v>260884.02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f>11459.43+1254.34</f>
        <v>12713.77</v>
      </c>
      <c r="K593" s="104">
        <f t="shared" si="51"/>
        <v>12713.77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0</v>
      </c>
      <c r="I594" s="18">
        <v>7853.17</v>
      </c>
      <c r="J594" s="18">
        <f>22686.93+20083.4</f>
        <v>42770.33</v>
      </c>
      <c r="K594" s="104">
        <f t="shared" si="51"/>
        <v>50623.5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f>972.95+703.04</f>
        <v>1675.99</v>
      </c>
      <c r="I595" s="18">
        <f>6324.15</f>
        <v>6324.15</v>
      </c>
      <c r="J595" s="18">
        <f>13134.76</f>
        <v>13134.76</v>
      </c>
      <c r="K595" s="104">
        <f t="shared" si="51"/>
        <v>21134.9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51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179937.04</v>
      </c>
      <c r="I597" s="18">
        <v>179937.04</v>
      </c>
      <c r="J597" s="18">
        <v>55365.22</v>
      </c>
      <c r="K597" s="104">
        <f t="shared" si="51"/>
        <v>415239.30000000005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419220.54000000004</v>
      </c>
      <c r="I598" s="108">
        <f>SUM(I591:I597)</f>
        <v>431721.87</v>
      </c>
      <c r="J598" s="108">
        <f>SUM(J591:J597)</f>
        <v>257298.09</v>
      </c>
      <c r="K598" s="108">
        <f>SUM(K591:K597)</f>
        <v>1108240.5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J211+J290</f>
        <v>199500.94</v>
      </c>
      <c r="I604" s="18">
        <f>J229+J309</f>
        <v>185916.29</v>
      </c>
      <c r="J604" s="18">
        <f>J247+J328</f>
        <v>177433.27000000002</v>
      </c>
      <c r="K604" s="104">
        <f>SUM(H604:J604)</f>
        <v>562850.5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199500.94</v>
      </c>
      <c r="I605" s="108">
        <f>SUM(I602:I604)</f>
        <v>185916.29</v>
      </c>
      <c r="J605" s="108">
        <f>SUM(J602:J604)</f>
        <v>177433.27000000002</v>
      </c>
      <c r="K605" s="108">
        <f>SUM(K602:K604)</f>
        <v>562850.5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8400</v>
      </c>
      <c r="G613" s="18">
        <v>2119.7399999999998</v>
      </c>
      <c r="H613" s="18">
        <v>0</v>
      </c>
      <c r="I613" s="18">
        <v>0</v>
      </c>
      <c r="J613" s="18">
        <v>0</v>
      </c>
      <c r="K613" s="18">
        <v>0</v>
      </c>
      <c r="L613" s="88">
        <f>SUM(F613:K613)</f>
        <v>10519.74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2">SUM(F611:F613)</f>
        <v>8400</v>
      </c>
      <c r="G614" s="108">
        <f t="shared" si="52"/>
        <v>2119.7399999999998</v>
      </c>
      <c r="H614" s="108">
        <f t="shared" si="52"/>
        <v>0</v>
      </c>
      <c r="I614" s="108">
        <f t="shared" si="52"/>
        <v>0</v>
      </c>
      <c r="J614" s="108">
        <f t="shared" si="52"/>
        <v>0</v>
      </c>
      <c r="K614" s="108">
        <f t="shared" si="52"/>
        <v>0</v>
      </c>
      <c r="L614" s="89">
        <f t="shared" si="52"/>
        <v>10519.74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4543938.72</v>
      </c>
      <c r="H617" s="109">
        <f>SUM(F52)</f>
        <v>4543938.72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1572372.97</v>
      </c>
      <c r="H618" s="109">
        <f>SUM(G52)</f>
        <v>1572372.9700000002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929194.51</v>
      </c>
      <c r="H619" s="109">
        <f>SUM(H52)</f>
        <v>929194.51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1871857.61</v>
      </c>
      <c r="H621" s="109">
        <f>SUM(J52)</f>
        <v>1871857.6099999999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913202.75</v>
      </c>
      <c r="H622" s="109">
        <f>F476</f>
        <v>913202.75000000373</v>
      </c>
      <c r="I622" s="121" t="s">
        <v>101</v>
      </c>
      <c r="J622" s="109">
        <f t="shared" ref="J622:J655" si="53">G622-H622</f>
        <v>-3.7252902984619141E-9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240800.54</v>
      </c>
      <c r="H623" s="109">
        <f>G476</f>
        <v>240800.54000000015</v>
      </c>
      <c r="I623" s="121" t="s">
        <v>102</v>
      </c>
      <c r="J623" s="109">
        <f t="shared" si="53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3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3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1871857.6099999999</v>
      </c>
      <c r="H626" s="109">
        <f>J476</f>
        <v>1871857.6099999999</v>
      </c>
      <c r="I626" s="140" t="s">
        <v>105</v>
      </c>
      <c r="J626" s="109">
        <f t="shared" si="53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26877471.27</v>
      </c>
      <c r="H627" s="104">
        <f>SUM(F468)</f>
        <v>26877471.27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755083.4</v>
      </c>
      <c r="H628" s="104">
        <f>SUM(G468)</f>
        <v>755083.4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429654.43999999994</v>
      </c>
      <c r="H629" s="104">
        <f>SUM(H468)</f>
        <v>429654.43999999994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374484.64</v>
      </c>
      <c r="H631" s="104">
        <f>SUM(J468)</f>
        <v>374484.64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26956948.549999997</v>
      </c>
      <c r="H632" s="104">
        <f>SUM(F472)</f>
        <v>26956948.549999997</v>
      </c>
      <c r="I632" s="140" t="s">
        <v>111</v>
      </c>
      <c r="J632" s="109">
        <f t="shared" si="53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429654.44000000006</v>
      </c>
      <c r="H633" s="104">
        <f>SUM(H472)</f>
        <v>429654.44000000006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350514.05999999994</v>
      </c>
      <c r="H634" s="104">
        <f>I369</f>
        <v>350514.06000000006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686454.7699999999</v>
      </c>
      <c r="H635" s="104">
        <f>SUM(G472)</f>
        <v>686454.7699999999</v>
      </c>
      <c r="I635" s="140" t="s">
        <v>114</v>
      </c>
      <c r="J635" s="109">
        <f t="shared" si="53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3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374484.64</v>
      </c>
      <c r="H637" s="164">
        <f>SUM(J468)</f>
        <v>374484.64</v>
      </c>
      <c r="I637" s="165" t="s">
        <v>110</v>
      </c>
      <c r="J637" s="151">
        <f t="shared" si="53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103150</v>
      </c>
      <c r="H638" s="164">
        <f>SUM(J472)</f>
        <v>103150</v>
      </c>
      <c r="I638" s="165" t="s">
        <v>117</v>
      </c>
      <c r="J638" s="151">
        <f t="shared" si="53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1501604.1500000001</v>
      </c>
      <c r="H639" s="104">
        <f>SUM(F461)</f>
        <v>1501604.15</v>
      </c>
      <c r="I639" s="140" t="s">
        <v>851</v>
      </c>
      <c r="J639" s="109">
        <f t="shared" si="53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370253.46</v>
      </c>
      <c r="H640" s="104">
        <f>SUM(G461)</f>
        <v>370253.46</v>
      </c>
      <c r="I640" s="140" t="s">
        <v>852</v>
      </c>
      <c r="J640" s="109">
        <f t="shared" si="53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3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1871857.61</v>
      </c>
      <c r="H642" s="104">
        <f>SUM(I461)</f>
        <v>1871857.6099999999</v>
      </c>
      <c r="I642" s="140" t="s">
        <v>854</v>
      </c>
      <c r="J642" s="109">
        <f t="shared" si="53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3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-1065.3599999999974</v>
      </c>
      <c r="H644" s="104">
        <f>H408</f>
        <v>-1065.3599999999974</v>
      </c>
      <c r="I644" s="140" t="s">
        <v>478</v>
      </c>
      <c r="J644" s="109">
        <f t="shared" si="53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375550</v>
      </c>
      <c r="H645" s="104">
        <f>G408</f>
        <v>375550</v>
      </c>
      <c r="I645" s="140" t="s">
        <v>479</v>
      </c>
      <c r="J645" s="109">
        <f t="shared" si="53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374484.64</v>
      </c>
      <c r="H646" s="104">
        <f>L408</f>
        <v>374484.64</v>
      </c>
      <c r="I646" s="140" t="s">
        <v>475</v>
      </c>
      <c r="J646" s="109">
        <f t="shared" si="53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1108240.5</v>
      </c>
      <c r="H647" s="104">
        <f>L208+L226+L244</f>
        <v>1108240.5</v>
      </c>
      <c r="I647" s="140" t="s">
        <v>394</v>
      </c>
      <c r="J647" s="109">
        <f t="shared" si="53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562850.5</v>
      </c>
      <c r="H648" s="104">
        <f>(J257+J338)-(J255+J336)</f>
        <v>562850.49999999988</v>
      </c>
      <c r="I648" s="140" t="s">
        <v>697</v>
      </c>
      <c r="J648" s="109">
        <f t="shared" si="53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419220.54</v>
      </c>
      <c r="H649" s="104">
        <f>H598</f>
        <v>419220.54000000004</v>
      </c>
      <c r="I649" s="140" t="s">
        <v>386</v>
      </c>
      <c r="J649" s="109">
        <f t="shared" si="53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431721.87</v>
      </c>
      <c r="H650" s="104">
        <f>I598</f>
        <v>431721.87</v>
      </c>
      <c r="I650" s="140" t="s">
        <v>387</v>
      </c>
      <c r="J650" s="109">
        <f t="shared" si="53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257298.08999999997</v>
      </c>
      <c r="H651" s="104">
        <f>J598</f>
        <v>257298.09</v>
      </c>
      <c r="I651" s="140" t="s">
        <v>388</v>
      </c>
      <c r="J651" s="109">
        <f t="shared" si="53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3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3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3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375550</v>
      </c>
      <c r="H655" s="104">
        <f>K266+K347</f>
        <v>375550</v>
      </c>
      <c r="I655" s="140" t="s">
        <v>398</v>
      </c>
      <c r="J655" s="109">
        <f t="shared" si="53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8290351.9799999986</v>
      </c>
      <c r="G660" s="19">
        <f>(L229+L309+L359)</f>
        <v>7948750.4699999997</v>
      </c>
      <c r="H660" s="19">
        <f>(L247+L328+L360)</f>
        <v>11174105.309999999</v>
      </c>
      <c r="I660" s="19">
        <f>SUM(F660:H660)</f>
        <v>27413207.759999998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145128.40545597783</v>
      </c>
      <c r="G661" s="19">
        <f>(L359/IF(SUM(L358:L360)=0,1,SUM(L358:L360))*(SUM(G97:G110)))</f>
        <v>181292.13949868103</v>
      </c>
      <c r="H661" s="19">
        <f>(L360/IF(SUM(L358:L360)=0,1,SUM(L358:L360))*(SUM(G97:G110)))</f>
        <v>298560.70504534116</v>
      </c>
      <c r="I661" s="19">
        <f>SUM(F661:H661)</f>
        <v>624981.25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357241.22</v>
      </c>
      <c r="G662" s="19">
        <f>(L226+L306)-(J226+J306)</f>
        <v>369742.55</v>
      </c>
      <c r="H662" s="19">
        <f>(L244+L325)-(J244+J325)</f>
        <v>235860.75999999995</v>
      </c>
      <c r="I662" s="19">
        <f>SUM(F662:H662)</f>
        <v>962844.53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383167.57</v>
      </c>
      <c r="G663" s="199">
        <f>SUM(G575:G587)+SUM(I602:I604)+L612</f>
        <v>202383.24000000002</v>
      </c>
      <c r="H663" s="199">
        <f>SUM(H575:H587)+SUM(J602:J604)+L613</f>
        <v>868063.54</v>
      </c>
      <c r="I663" s="19">
        <f>SUM(F663:H663)</f>
        <v>1453614.35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7404814.7845440209</v>
      </c>
      <c r="G664" s="19">
        <f>G660-SUM(G661:G663)</f>
        <v>7195332.5405013189</v>
      </c>
      <c r="H664" s="19">
        <f>H660-SUM(H661:H663)</f>
        <v>9771620.3049546573</v>
      </c>
      <c r="I664" s="19">
        <f>I660-SUM(I661:I663)</f>
        <v>24371767.629999999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507.64</v>
      </c>
      <c r="G665" s="248">
        <v>495.22</v>
      </c>
      <c r="H665" s="248">
        <v>654.76</v>
      </c>
      <c r="I665" s="19">
        <f>SUM(F665:H665)</f>
        <v>1657.62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14586.74</v>
      </c>
      <c r="G667" s="19">
        <f>ROUND(G664/G665,2)</f>
        <v>14529.57</v>
      </c>
      <c r="H667" s="19">
        <f>ROUND(H664/H665,2)</f>
        <v>14923.97</v>
      </c>
      <c r="I667" s="19">
        <f>ROUND(I664/I665,2)</f>
        <v>14702.87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-13</v>
      </c>
      <c r="I670" s="19">
        <f>SUM(F670:H670)</f>
        <v>-13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14586.74</v>
      </c>
      <c r="G672" s="19">
        <f>ROUND((G664+G669)/(G665+G670),2)</f>
        <v>14529.57</v>
      </c>
      <c r="H672" s="19">
        <f>ROUND((H664+H669)/(H665+H670),2)</f>
        <v>15226.28</v>
      </c>
      <c r="I672" s="19">
        <f>ROUND((I664+I669)/(I665+I670),2)</f>
        <v>14819.09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10" sqref="C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BOW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7630092.5999999996</v>
      </c>
      <c r="C9" s="229">
        <f>'DOE25'!G197+'DOE25'!G215+'DOE25'!G233+'DOE25'!G276+'DOE25'!G295+'DOE25'!G314</f>
        <v>3641908.72</v>
      </c>
    </row>
    <row r="10" spans="1:3" x14ac:dyDescent="0.2">
      <c r="A10" t="s">
        <v>773</v>
      </c>
      <c r="B10" s="240">
        <f>7630092.6-220403.24</f>
        <v>7409689.3599999994</v>
      </c>
      <c r="C10" s="240">
        <f>3641908.72-92435.12</f>
        <v>3549473.6</v>
      </c>
    </row>
    <row r="11" spans="1:3" x14ac:dyDescent="0.2">
      <c r="A11" t="s">
        <v>774</v>
      </c>
      <c r="B11" s="240">
        <f>12859.15+14684.53</f>
        <v>27543.68</v>
      </c>
      <c r="C11" s="240">
        <f>2964.83+10624.29</f>
        <v>13589.12</v>
      </c>
    </row>
    <row r="12" spans="1:3" x14ac:dyDescent="0.2">
      <c r="A12" t="s">
        <v>775</v>
      </c>
      <c r="B12" s="240">
        <f>89594.76+103264.8</f>
        <v>192859.56</v>
      </c>
      <c r="C12" s="240">
        <f>44066.35+34779.65</f>
        <v>78846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7630092.5999999987</v>
      </c>
      <c r="C13" s="231">
        <f>SUM(C10:C12)</f>
        <v>3641908.72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2652119.38</v>
      </c>
      <c r="C18" s="229">
        <f>'DOE25'!G198+'DOE25'!G216+'DOE25'!G234+'DOE25'!G277+'DOE25'!G296+'DOE25'!G315</f>
        <v>1216079.9799999997</v>
      </c>
    </row>
    <row r="19" spans="1:3" x14ac:dyDescent="0.2">
      <c r="A19" t="s">
        <v>773</v>
      </c>
      <c r="B19" s="240">
        <f>355153.89-44185.89+388794.89-44185.89+327348+69292+72092</f>
        <v>1124309</v>
      </c>
      <c r="C19" s="240">
        <f>223624.08-21911.86+185225-21911.86+140478.98+78100.59</f>
        <v>583604.92999999993</v>
      </c>
    </row>
    <row r="20" spans="1:3" x14ac:dyDescent="0.2">
      <c r="A20" t="s">
        <v>774</v>
      </c>
      <c r="B20" s="240">
        <f>2652119.38-1124309-88371.78</f>
        <v>1439438.5999999999</v>
      </c>
      <c r="C20" s="240">
        <f>1216079.98-583604.93-43823.72</f>
        <v>588651.32999999996</v>
      </c>
    </row>
    <row r="21" spans="1:3" x14ac:dyDescent="0.2">
      <c r="A21" t="s">
        <v>775</v>
      </c>
      <c r="B21" s="240">
        <f>44185.89*2</f>
        <v>88371.78</v>
      </c>
      <c r="C21" s="240">
        <f>21911.86*2</f>
        <v>43823.72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2652119.3799999994</v>
      </c>
      <c r="C22" s="231">
        <f>SUM(C19:C21)</f>
        <v>1216079.9799999997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>
        <v>0</v>
      </c>
      <c r="C28" s="240">
        <v>0</v>
      </c>
    </row>
    <row r="29" spans="1:3" x14ac:dyDescent="0.2">
      <c r="A29" t="s">
        <v>774</v>
      </c>
      <c r="B29" s="240">
        <v>0</v>
      </c>
      <c r="C29" s="240">
        <v>0</v>
      </c>
    </row>
    <row r="30" spans="1:3" x14ac:dyDescent="0.2">
      <c r="A30" t="s">
        <v>775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365178.15</v>
      </c>
      <c r="C36" s="235">
        <f>'DOE25'!G200+'DOE25'!G218+'DOE25'!G236+'DOE25'!G279+'DOE25'!G298+'DOE25'!G317</f>
        <v>91007.75</v>
      </c>
    </row>
    <row r="37" spans="1:3" x14ac:dyDescent="0.2">
      <c r="A37" t="s">
        <v>773</v>
      </c>
      <c r="B37" s="240">
        <f>365178.15-175879.32</f>
        <v>189298.83000000002</v>
      </c>
      <c r="C37" s="240">
        <f>91007.75-15093.53-34622.25</f>
        <v>41291.97</v>
      </c>
    </row>
    <row r="38" spans="1:3" x14ac:dyDescent="0.2">
      <c r="A38" t="s">
        <v>774</v>
      </c>
      <c r="B38" s="240">
        <v>107150.7</v>
      </c>
      <c r="C38" s="240">
        <v>15093.53</v>
      </c>
    </row>
    <row r="39" spans="1:3" x14ac:dyDescent="0.2">
      <c r="A39" t="s">
        <v>775</v>
      </c>
      <c r="B39" s="240">
        <v>68728.62</v>
      </c>
      <c r="C39" s="240">
        <v>34622.25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365178.15</v>
      </c>
      <c r="C40" s="231">
        <f>SUM(C37:C39)</f>
        <v>91007.75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BOW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17330379.210000001</v>
      </c>
      <c r="D5" s="20">
        <f>SUM('DOE25'!L197:L200)+SUM('DOE25'!L215:L218)+SUM('DOE25'!L233:L236)-F5-G5</f>
        <v>17095071.41</v>
      </c>
      <c r="E5" s="243"/>
      <c r="F5" s="255">
        <f>SUM('DOE25'!J197:J200)+SUM('DOE25'!J215:J218)+SUM('DOE25'!J233:J236)</f>
        <v>101251.43</v>
      </c>
      <c r="G5" s="53">
        <f>SUM('DOE25'!K197:K200)+SUM('DOE25'!K215:K218)+SUM('DOE25'!K233:K236)</f>
        <v>134056.37</v>
      </c>
      <c r="H5" s="259"/>
    </row>
    <row r="6" spans="1:9" x14ac:dyDescent="0.2">
      <c r="A6" s="32">
        <v>2100</v>
      </c>
      <c r="B6" t="s">
        <v>795</v>
      </c>
      <c r="C6" s="245">
        <f t="shared" si="0"/>
        <v>2245024.39</v>
      </c>
      <c r="D6" s="20">
        <f>'DOE25'!L202+'DOE25'!L220+'DOE25'!L238-F6-G6</f>
        <v>2236486.6</v>
      </c>
      <c r="E6" s="243"/>
      <c r="F6" s="255">
        <f>'DOE25'!J202+'DOE25'!J220+'DOE25'!J238</f>
        <v>6028.79</v>
      </c>
      <c r="G6" s="53">
        <f>'DOE25'!K202+'DOE25'!K220+'DOE25'!K238</f>
        <v>2509</v>
      </c>
      <c r="H6" s="259"/>
    </row>
    <row r="7" spans="1:9" x14ac:dyDescent="0.2">
      <c r="A7" s="32">
        <v>2200</v>
      </c>
      <c r="B7" t="s">
        <v>828</v>
      </c>
      <c r="C7" s="245">
        <f t="shared" si="0"/>
        <v>1153924.2999999998</v>
      </c>
      <c r="D7" s="20">
        <f>'DOE25'!L203+'DOE25'!L221+'DOE25'!L239-F7-G7</f>
        <v>869691.60999999987</v>
      </c>
      <c r="E7" s="243"/>
      <c r="F7" s="255">
        <f>'DOE25'!J203+'DOE25'!J221+'DOE25'!J239</f>
        <v>283559.43999999994</v>
      </c>
      <c r="G7" s="53">
        <f>'DOE25'!K203+'DOE25'!K221+'DOE25'!K239</f>
        <v>673.25</v>
      </c>
      <c r="H7" s="259"/>
    </row>
    <row r="8" spans="1:9" x14ac:dyDescent="0.2">
      <c r="A8" s="32">
        <v>2300</v>
      </c>
      <c r="B8" t="s">
        <v>796</v>
      </c>
      <c r="C8" s="245">
        <f t="shared" si="0"/>
        <v>569587.66999999993</v>
      </c>
      <c r="D8" s="243"/>
      <c r="E8" s="20">
        <f>'DOE25'!L204+'DOE25'!L222+'DOE25'!L240-F8-G8-D9-D11</f>
        <v>535886.24999999988</v>
      </c>
      <c r="F8" s="255">
        <f>'DOE25'!J204+'DOE25'!J222+'DOE25'!J240</f>
        <v>0</v>
      </c>
      <c r="G8" s="53">
        <f>'DOE25'!K204+'DOE25'!K222+'DOE25'!K240</f>
        <v>33701.42</v>
      </c>
      <c r="H8" s="259"/>
    </row>
    <row r="9" spans="1:9" x14ac:dyDescent="0.2">
      <c r="A9" s="32">
        <v>2310</v>
      </c>
      <c r="B9" t="s">
        <v>812</v>
      </c>
      <c r="C9" s="245">
        <f t="shared" si="0"/>
        <v>47050.11</v>
      </c>
      <c r="D9" s="244">
        <v>47050.11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12140</v>
      </c>
      <c r="D10" s="243"/>
      <c r="E10" s="244">
        <v>12140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232617</v>
      </c>
      <c r="D11" s="244">
        <v>232617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1299441.69</v>
      </c>
      <c r="D12" s="20">
        <f>'DOE25'!L205+'DOE25'!L223+'DOE25'!L241-F12-G12</f>
        <v>1289153.93</v>
      </c>
      <c r="E12" s="243"/>
      <c r="F12" s="255">
        <f>'DOE25'!J205+'DOE25'!J223+'DOE25'!J241</f>
        <v>1479.81</v>
      </c>
      <c r="G12" s="53">
        <f>'DOE25'!K205+'DOE25'!K223+'DOE25'!K241</f>
        <v>8807.9500000000007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2310833.6799999997</v>
      </c>
      <c r="D14" s="20">
        <f>'DOE25'!L207+'DOE25'!L225+'DOE25'!L243-F14-G14</f>
        <v>2299503.4699999997</v>
      </c>
      <c r="E14" s="243"/>
      <c r="F14" s="255">
        <f>'DOE25'!J207+'DOE25'!J225+'DOE25'!J243</f>
        <v>11330.21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1108240.5</v>
      </c>
      <c r="D15" s="20">
        <f>'DOE25'!L208+'DOE25'!L226+'DOE25'!L244-F15-G15</f>
        <v>953870.84000000008</v>
      </c>
      <c r="E15" s="243"/>
      <c r="F15" s="255">
        <f>'DOE25'!J208+'DOE25'!J226+'DOE25'!J244</f>
        <v>145395.97</v>
      </c>
      <c r="G15" s="53">
        <f>'DOE25'!K208+'DOE25'!K226+'DOE25'!K244</f>
        <v>8973.69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284300</v>
      </c>
      <c r="D25" s="243"/>
      <c r="E25" s="243"/>
      <c r="F25" s="258"/>
      <c r="G25" s="256"/>
      <c r="H25" s="257">
        <f>'DOE25'!L260+'DOE25'!L261+'DOE25'!L341+'DOE25'!L342</f>
        <v>284300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376811.71999999986</v>
      </c>
      <c r="D29" s="20">
        <f>'DOE25'!L358+'DOE25'!L359+'DOE25'!L360-'DOE25'!I367-F29-G29</f>
        <v>373814.11999999988</v>
      </c>
      <c r="E29" s="243"/>
      <c r="F29" s="255">
        <f>'DOE25'!J358+'DOE25'!J359+'DOE25'!J360</f>
        <v>2997.6000000000004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429654.44000000006</v>
      </c>
      <c r="D31" s="20">
        <f>'DOE25'!L290+'DOE25'!L309+'DOE25'!L328+'DOE25'!L333+'DOE25'!L334+'DOE25'!L335-F31-G31</f>
        <v>401175.97000000009</v>
      </c>
      <c r="E31" s="243"/>
      <c r="F31" s="255">
        <f>'DOE25'!J290+'DOE25'!J309+'DOE25'!J328+'DOE25'!J333+'DOE25'!J334+'DOE25'!J335</f>
        <v>13804.850000000002</v>
      </c>
      <c r="G31" s="53">
        <f>'DOE25'!K290+'DOE25'!K309+'DOE25'!K328+'DOE25'!K333+'DOE25'!K334+'DOE25'!K335</f>
        <v>14673.62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25798435.059999999</v>
      </c>
      <c r="E33" s="246">
        <f>SUM(E5:E31)</f>
        <v>548026.24999999988</v>
      </c>
      <c r="F33" s="246">
        <f>SUM(F5:F31)</f>
        <v>565848.09999999986</v>
      </c>
      <c r="G33" s="246">
        <f>SUM(G5:G31)</f>
        <v>203395.3</v>
      </c>
      <c r="H33" s="246">
        <f>SUM(H5:H31)</f>
        <v>284300</v>
      </c>
    </row>
    <row r="35" spans="2:8" ht="12" thickBot="1" x14ac:dyDescent="0.25">
      <c r="B35" s="253" t="s">
        <v>841</v>
      </c>
      <c r="D35" s="254">
        <f>E33</f>
        <v>548026.24999999988</v>
      </c>
      <c r="E35" s="249"/>
    </row>
    <row r="36" spans="2:8" ht="12" thickTop="1" x14ac:dyDescent="0.2">
      <c r="B36" t="s">
        <v>809</v>
      </c>
      <c r="D36" s="20">
        <f>D33</f>
        <v>25798435.059999999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13" sqref="A1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BOW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1874807.3900000001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1871857.61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2248326.98</v>
      </c>
      <c r="D11" s="95">
        <f>'DOE25'!G12</f>
        <v>1565766.64</v>
      </c>
      <c r="E11" s="95">
        <f>'DOE25'!H12</f>
        <v>862665.76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66528.75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227693.79</v>
      </c>
      <c r="D13" s="95">
        <f>'DOE25'!G14</f>
        <v>6606.33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193110.56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4543938.72</v>
      </c>
      <c r="D18" s="41">
        <f>SUM(D8:D17)</f>
        <v>1572372.97</v>
      </c>
      <c r="E18" s="41">
        <f>SUM(E8:E17)</f>
        <v>929194.51</v>
      </c>
      <c r="F18" s="41">
        <f>SUM(F8:F17)</f>
        <v>0</v>
      </c>
      <c r="G18" s="41">
        <f>SUM(G8:G17)</f>
        <v>1871857.61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2451149.71</v>
      </c>
      <c r="D21" s="95">
        <f>'DOE25'!G22</f>
        <v>1307264.3600000001</v>
      </c>
      <c r="E21" s="95">
        <f>'DOE25'!H22</f>
        <v>918345.34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810535.71</v>
      </c>
      <c r="D23" s="95">
        <f>'DOE25'!G24</f>
        <v>2074.2399999999998</v>
      </c>
      <c r="E23" s="95">
        <f>'DOE25'!H24</f>
        <v>10849.17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369050.55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22233.83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3630735.9699999997</v>
      </c>
      <c r="D31" s="41">
        <f>SUM(D21:D30)</f>
        <v>1331572.4300000002</v>
      </c>
      <c r="E31" s="41">
        <f>SUM(E21:E30)</f>
        <v>929194.51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221110.56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240800.54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51072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1871857.6099999999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641020.18999999994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913202.75</v>
      </c>
      <c r="D50" s="41">
        <f>SUM(D34:D49)</f>
        <v>240800.54</v>
      </c>
      <c r="E50" s="41">
        <f>SUM(E34:E49)</f>
        <v>0</v>
      </c>
      <c r="F50" s="41">
        <f>SUM(F34:F49)</f>
        <v>0</v>
      </c>
      <c r="G50" s="41">
        <f>SUM(G34:G49)</f>
        <v>1871857.6099999999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4543938.72</v>
      </c>
      <c r="D51" s="41">
        <f>D50+D31</f>
        <v>1572372.9700000002</v>
      </c>
      <c r="E51" s="41">
        <f>E50+E31</f>
        <v>929194.51</v>
      </c>
      <c r="F51" s="41">
        <f>F50+F31</f>
        <v>0</v>
      </c>
      <c r="G51" s="41">
        <f>G50+G31</f>
        <v>1871857.6099999999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17382101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2785342.7299999995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8045.48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-1065.3599999999974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624981.25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132252.26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2925640.4699999997</v>
      </c>
      <c r="D62" s="130">
        <f>SUM(D57:D61)</f>
        <v>624981.25</v>
      </c>
      <c r="E62" s="130">
        <f>SUM(E57:E61)</f>
        <v>0</v>
      </c>
      <c r="F62" s="130">
        <f>SUM(F57:F61)</f>
        <v>0</v>
      </c>
      <c r="G62" s="130">
        <f>SUM(G57:G61)</f>
        <v>-1065.3599999999974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20307741.469999999</v>
      </c>
      <c r="D63" s="22">
        <f>D56+D62</f>
        <v>624981.25</v>
      </c>
      <c r="E63" s="22">
        <f>E56+E62</f>
        <v>0</v>
      </c>
      <c r="F63" s="22">
        <f>F56+F62</f>
        <v>0</v>
      </c>
      <c r="G63" s="22">
        <f>G56+G62</f>
        <v>-1065.3599999999974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3616786.1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2176723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18052.54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5811561.6399999997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67289.929999999993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300977.53999999998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9558.6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40110.420000000006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377826.06999999995</v>
      </c>
      <c r="D78" s="130">
        <f>SUM(D72:D77)</f>
        <v>40110.420000000006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6189387.71</v>
      </c>
      <c r="D81" s="130">
        <f>SUM(D79:D80)+D78+D70</f>
        <v>40110.420000000006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277192.09000000003</v>
      </c>
      <c r="D88" s="95">
        <f>SUM('DOE25'!G153:G161)</f>
        <v>89991.73</v>
      </c>
      <c r="E88" s="95">
        <f>SUM('DOE25'!H153:H161)</f>
        <v>429654.43999999994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277192.09000000003</v>
      </c>
      <c r="D91" s="131">
        <f>SUM(D85:D90)</f>
        <v>89991.73</v>
      </c>
      <c r="E91" s="131">
        <f>SUM(E85:E90)</f>
        <v>429654.43999999994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375550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103150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103150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375550</v>
      </c>
    </row>
    <row r="104" spans="1:7" ht="12.75" thickTop="1" thickBot="1" x14ac:dyDescent="0.25">
      <c r="A104" s="33" t="s">
        <v>759</v>
      </c>
      <c r="C104" s="86">
        <f>C63+C81+C91+C103</f>
        <v>26877471.27</v>
      </c>
      <c r="D104" s="86">
        <f>D63+D81+D91+D103</f>
        <v>755083.4</v>
      </c>
      <c r="E104" s="86">
        <f>E63+E81+E91+E103</f>
        <v>429654.43999999994</v>
      </c>
      <c r="F104" s="86">
        <f>F63+F81+F91+F103</f>
        <v>0</v>
      </c>
      <c r="G104" s="86">
        <f>G63+G81+G103</f>
        <v>374484.64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11603112.399999999</v>
      </c>
      <c r="D109" s="24" t="s">
        <v>286</v>
      </c>
      <c r="E109" s="95">
        <f>('DOE25'!L276)+('DOE25'!L295)+('DOE25'!L314)</f>
        <v>103245.16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5033104.22</v>
      </c>
      <c r="D110" s="24" t="s">
        <v>286</v>
      </c>
      <c r="E110" s="95">
        <f>('DOE25'!L277)+('DOE25'!L296)+('DOE25'!L315)</f>
        <v>315612.69000000006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66207.240000000005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627955.35</v>
      </c>
      <c r="D112" s="24" t="s">
        <v>286</v>
      </c>
      <c r="E112" s="95">
        <f>+('DOE25'!L279)+('DOE25'!L298)+('DOE25'!L317)</f>
        <v>971.75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17330379.209999997</v>
      </c>
      <c r="D115" s="86">
        <f>SUM(D109:D114)</f>
        <v>0</v>
      </c>
      <c r="E115" s="86">
        <f>SUM(E109:E114)</f>
        <v>419829.60000000009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2245024.39</v>
      </c>
      <c r="D118" s="24" t="s">
        <v>286</v>
      </c>
      <c r="E118" s="95">
        <f>+('DOE25'!L281)+('DOE25'!L300)+('DOE25'!L319)</f>
        <v>7824.8399999999992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1153924.2999999998</v>
      </c>
      <c r="D119" s="24" t="s">
        <v>286</v>
      </c>
      <c r="E119" s="95">
        <f>+('DOE25'!L282)+('DOE25'!L301)+('DOE25'!L320)</f>
        <v>2000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849254.77999999991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1299441.69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2310833.6799999997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1108240.5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686454.7699999999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8966719.3399999999</v>
      </c>
      <c r="D128" s="86">
        <f>SUM(D118:D127)</f>
        <v>686454.7699999999</v>
      </c>
      <c r="E128" s="86">
        <f>SUM(E118:E127)</f>
        <v>9824.84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200000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84300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374484.64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1065.359999999986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659850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26956948.549999997</v>
      </c>
      <c r="D145" s="86">
        <f>(D115+D128+D144)</f>
        <v>686454.7699999999</v>
      </c>
      <c r="E145" s="86">
        <f>(E115+E128+E144)</f>
        <v>429654.44000000012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7/1/2006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7/1/2026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4027000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4.4000000000000004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2000000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2000000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200000</v>
      </c>
    </row>
    <row r="159" spans="1:9" x14ac:dyDescent="0.2">
      <c r="A159" s="22" t="s">
        <v>35</v>
      </c>
      <c r="B159" s="137">
        <f>'DOE25'!F498</f>
        <v>1800000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1800000</v>
      </c>
    </row>
    <row r="160" spans="1:9" x14ac:dyDescent="0.2">
      <c r="A160" s="22" t="s">
        <v>36</v>
      </c>
      <c r="B160" s="137">
        <f>'DOE25'!F499</f>
        <v>674461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674461</v>
      </c>
    </row>
    <row r="161" spans="1:7" x14ac:dyDescent="0.2">
      <c r="A161" s="22" t="s">
        <v>37</v>
      </c>
      <c r="B161" s="137">
        <f>'DOE25'!F500</f>
        <v>2474461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2474461</v>
      </c>
    </row>
    <row r="162" spans="1:7" x14ac:dyDescent="0.2">
      <c r="A162" s="22" t="s">
        <v>38</v>
      </c>
      <c r="B162" s="137">
        <f>'DOE25'!F501</f>
        <v>200000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200000</v>
      </c>
    </row>
    <row r="163" spans="1:7" x14ac:dyDescent="0.2">
      <c r="A163" s="22" t="s">
        <v>39</v>
      </c>
      <c r="B163" s="137">
        <f>'DOE25'!F502</f>
        <v>75700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75700</v>
      </c>
    </row>
    <row r="164" spans="1:7" x14ac:dyDescent="0.2">
      <c r="A164" s="22" t="s">
        <v>246</v>
      </c>
      <c r="B164" s="137">
        <f>'DOE25'!F503</f>
        <v>275700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275700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BOW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14587</v>
      </c>
    </row>
    <row r="5" spans="1:4" x14ac:dyDescent="0.2">
      <c r="B5" t="s">
        <v>698</v>
      </c>
      <c r="C5" s="179">
        <f>IF('DOE25'!G665+'DOE25'!G670=0,0,ROUND('DOE25'!G672,0))</f>
        <v>14530</v>
      </c>
    </row>
    <row r="6" spans="1:4" x14ac:dyDescent="0.2">
      <c r="B6" t="s">
        <v>62</v>
      </c>
      <c r="C6" s="179">
        <f>IF('DOE25'!H665+'DOE25'!H670=0,0,ROUND('DOE25'!H672,0))</f>
        <v>15226</v>
      </c>
    </row>
    <row r="7" spans="1:4" x14ac:dyDescent="0.2">
      <c r="B7" t="s">
        <v>699</v>
      </c>
      <c r="C7" s="179">
        <f>IF('DOE25'!I665+'DOE25'!I670=0,0,ROUND('DOE25'!I672,0))</f>
        <v>14819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11706358</v>
      </c>
      <c r="D10" s="182">
        <f>ROUND((C10/$C$28)*100,1)</f>
        <v>43.6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5348717</v>
      </c>
      <c r="D11" s="182">
        <f>ROUND((C11/$C$28)*100,1)</f>
        <v>19.899999999999999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66207</v>
      </c>
      <c r="D12" s="182">
        <f>ROUND((C12/$C$28)*100,1)</f>
        <v>0.2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628927</v>
      </c>
      <c r="D13" s="182">
        <f>ROUND((C13/$C$28)*100,1)</f>
        <v>2.2999999999999998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2252849</v>
      </c>
      <c r="D15" s="182">
        <f t="shared" ref="D15:D27" si="0">ROUND((C15/$C$28)*100,1)</f>
        <v>8.4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1155924</v>
      </c>
      <c r="D16" s="182">
        <f t="shared" si="0"/>
        <v>4.3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849255</v>
      </c>
      <c r="D17" s="182">
        <f t="shared" si="0"/>
        <v>3.2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1299442</v>
      </c>
      <c r="D18" s="182">
        <f t="shared" si="0"/>
        <v>4.8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2310834</v>
      </c>
      <c r="D20" s="182">
        <f t="shared" si="0"/>
        <v>8.6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1108241</v>
      </c>
      <c r="D21" s="182">
        <f t="shared" si="0"/>
        <v>4.0999999999999996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84300</v>
      </c>
      <c r="D25" s="182">
        <f t="shared" si="0"/>
        <v>0.3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61473.75</v>
      </c>
      <c r="D27" s="182">
        <f t="shared" si="0"/>
        <v>0.2</v>
      </c>
    </row>
    <row r="28" spans="1:4" x14ac:dyDescent="0.2">
      <c r="B28" s="187" t="s">
        <v>717</v>
      </c>
      <c r="C28" s="180">
        <f>SUM(C10:C27)</f>
        <v>26872527.75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26872527.75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200000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17382101</v>
      </c>
      <c r="D35" s="182">
        <f t="shared" ref="D35:D40" si="1">ROUND((C35/$C$41)*100,1)</f>
        <v>63.6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2924575.1099999994</v>
      </c>
      <c r="D36" s="182">
        <f t="shared" si="1"/>
        <v>10.7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5793509</v>
      </c>
      <c r="D37" s="182">
        <f t="shared" si="1"/>
        <v>21.2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435989</v>
      </c>
      <c r="D38" s="182">
        <f t="shared" si="1"/>
        <v>1.6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796838</v>
      </c>
      <c r="D39" s="182">
        <f t="shared" si="1"/>
        <v>2.9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27333012.109999999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BOW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1</v>
      </c>
      <c r="B4" s="219">
        <v>30</v>
      </c>
      <c r="C4" s="285" t="s">
        <v>915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2018-08-29T19:22:17Z</cp:lastPrinted>
  <dcterms:created xsi:type="dcterms:W3CDTF">1997-12-04T19:04:30Z</dcterms:created>
  <dcterms:modified xsi:type="dcterms:W3CDTF">2018-12-03T18:34:56Z</dcterms:modified>
</cp:coreProperties>
</file>