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7" i="1" l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C120" i="2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" i="10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/>
  <c r="L220" i="1"/>
  <c r="L238" i="1"/>
  <c r="F7" i="13"/>
  <c r="G7" i="13"/>
  <c r="L203" i="1"/>
  <c r="C16" i="10"/>
  <c r="L221" i="1"/>
  <c r="L239" i="1"/>
  <c r="F12" i="13"/>
  <c r="G12" i="13"/>
  <c r="L205" i="1"/>
  <c r="C18" i="10"/>
  <c r="L223" i="1"/>
  <c r="L241" i="1"/>
  <c r="F14" i="13"/>
  <c r="G14" i="13"/>
  <c r="L207" i="1"/>
  <c r="C20" i="10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/>
  <c r="L341" i="1"/>
  <c r="L342" i="1"/>
  <c r="L255" i="1"/>
  <c r="L336" i="1"/>
  <c r="C11" i="13"/>
  <c r="C10" i="13"/>
  <c r="C9" i="13"/>
  <c r="L361" i="1"/>
  <c r="B4" i="12"/>
  <c r="B36" i="12"/>
  <c r="C36" i="12"/>
  <c r="B40" i="12"/>
  <c r="A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G60" i="1"/>
  <c r="H60" i="1"/>
  <c r="I60" i="1"/>
  <c r="F79" i="1"/>
  <c r="F94" i="1"/>
  <c r="F111" i="1"/>
  <c r="G111" i="1"/>
  <c r="G112" i="1"/>
  <c r="H79" i="1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/>
  <c r="G147" i="1"/>
  <c r="G162" i="1"/>
  <c r="H147" i="1"/>
  <c r="H162" i="1"/>
  <c r="I147" i="1"/>
  <c r="I162" i="1"/>
  <c r="C11" i="10"/>
  <c r="C12" i="10"/>
  <c r="C13" i="10"/>
  <c r="C17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H661" i="1"/>
  <c r="F662" i="1"/>
  <c r="I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/>
  <c r="L522" i="1"/>
  <c r="F550" i="1"/>
  <c r="L523" i="1"/>
  <c r="F551" i="1"/>
  <c r="L526" i="1"/>
  <c r="G549" i="1"/>
  <c r="G552" i="1"/>
  <c r="L527" i="1"/>
  <c r="G550" i="1"/>
  <c r="L528" i="1"/>
  <c r="G551" i="1"/>
  <c r="L531" i="1"/>
  <c r="H549" i="1"/>
  <c r="H552" i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2" i="2"/>
  <c r="E131" i="2"/>
  <c r="K270" i="1"/>
  <c r="L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E119" i="2"/>
  <c r="E120" i="2"/>
  <c r="E121" i="2"/>
  <c r="C122" i="2"/>
  <c r="E122" i="2"/>
  <c r="E123" i="2"/>
  <c r="C124" i="2"/>
  <c r="E124" i="2"/>
  <c r="C125" i="2"/>
  <c r="E125" i="2"/>
  <c r="F128" i="2"/>
  <c r="G128" i="2"/>
  <c r="C130" i="2"/>
  <c r="E130" i="2"/>
  <c r="F130" i="2"/>
  <c r="D134" i="2"/>
  <c r="D144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/>
  <c r="C156" i="2"/>
  <c r="D156" i="2"/>
  <c r="E156" i="2"/>
  <c r="F156" i="2"/>
  <c r="B157" i="2"/>
  <c r="G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617" i="1"/>
  <c r="G19" i="1"/>
  <c r="H19" i="1"/>
  <c r="I19" i="1"/>
  <c r="F32" i="1"/>
  <c r="F52" i="1"/>
  <c r="H617" i="1"/>
  <c r="G32" i="1"/>
  <c r="G52" i="1"/>
  <c r="H618" i="1"/>
  <c r="H32" i="1"/>
  <c r="I32" i="1"/>
  <c r="H51" i="1"/>
  <c r="H52" i="1"/>
  <c r="H619" i="1"/>
  <c r="I51" i="1"/>
  <c r="I52" i="1"/>
  <c r="H620" i="1"/>
  <c r="F177" i="1"/>
  <c r="I177" i="1"/>
  <c r="F183" i="1"/>
  <c r="G183" i="1"/>
  <c r="H183" i="1"/>
  <c r="I183" i="1"/>
  <c r="J183" i="1"/>
  <c r="J192" i="1"/>
  <c r="F188" i="1"/>
  <c r="G188" i="1"/>
  <c r="H188" i="1"/>
  <c r="I188" i="1"/>
  <c r="F211" i="1"/>
  <c r="F257" i="1"/>
  <c r="F271" i="1"/>
  <c r="G211" i="1"/>
  <c r="G257" i="1"/>
  <c r="G271" i="1"/>
  <c r="H211" i="1"/>
  <c r="H257" i="1"/>
  <c r="H271" i="1"/>
  <c r="I211" i="1"/>
  <c r="I257" i="1"/>
  <c r="I271" i="1"/>
  <c r="J211" i="1"/>
  <c r="K211" i="1"/>
  <c r="K257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/>
  <c r="J352" i="1"/>
  <c r="K337" i="1"/>
  <c r="K338" i="1"/>
  <c r="K352" i="1"/>
  <c r="F362" i="1"/>
  <c r="G362" i="1"/>
  <c r="H362" i="1"/>
  <c r="I362" i="1"/>
  <c r="J362" i="1"/>
  <c r="K362" i="1"/>
  <c r="I368" i="1"/>
  <c r="F369" i="1"/>
  <c r="G369" i="1"/>
  <c r="H369" i="1"/>
  <c r="I369" i="1"/>
  <c r="H634" i="1"/>
  <c r="J634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/>
  <c r="H645" i="1"/>
  <c r="J645" i="1"/>
  <c r="H401" i="1"/>
  <c r="H408" i="1"/>
  <c r="H644" i="1"/>
  <c r="J644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H642" i="1"/>
  <c r="F470" i="1"/>
  <c r="G470" i="1"/>
  <c r="H470" i="1"/>
  <c r="I470" i="1"/>
  <c r="J470" i="1"/>
  <c r="J476" i="1"/>
  <c r="H626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J545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K605" i="1"/>
  <c r="G648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H640" i="1"/>
  <c r="G641" i="1"/>
  <c r="H641" i="1"/>
  <c r="G643" i="1"/>
  <c r="H643" i="1"/>
  <c r="G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J655" i="1"/>
  <c r="F192" i="1"/>
  <c r="L256" i="1"/>
  <c r="G164" i="2"/>
  <c r="C18" i="2"/>
  <c r="C26" i="10"/>
  <c r="L328" i="1"/>
  <c r="H660" i="1"/>
  <c r="L351" i="1"/>
  <c r="L290" i="1"/>
  <c r="A31" i="12"/>
  <c r="C70" i="2"/>
  <c r="D62" i="2"/>
  <c r="D63" i="2"/>
  <c r="D18" i="13"/>
  <c r="C18" i="13"/>
  <c r="D15" i="13"/>
  <c r="C15" i="13"/>
  <c r="D18" i="2"/>
  <c r="D17" i="13"/>
  <c r="C17" i="13"/>
  <c r="C91" i="2"/>
  <c r="F78" i="2"/>
  <c r="F81" i="2"/>
  <c r="D31" i="2"/>
  <c r="D50" i="2"/>
  <c r="F18" i="2"/>
  <c r="E115" i="2"/>
  <c r="E103" i="2"/>
  <c r="D91" i="2"/>
  <c r="E62" i="2"/>
  <c r="E63" i="2"/>
  <c r="E31" i="2"/>
  <c r="G62" i="2"/>
  <c r="D29" i="13"/>
  <c r="C29" i="13"/>
  <c r="D19" i="13"/>
  <c r="C19" i="13"/>
  <c r="E13" i="13"/>
  <c r="C13" i="13"/>
  <c r="E78" i="2"/>
  <c r="E81" i="2"/>
  <c r="J257" i="1"/>
  <c r="J271" i="1"/>
  <c r="H112" i="1"/>
  <c r="J641" i="1"/>
  <c r="J639" i="1"/>
  <c r="J571" i="1"/>
  <c r="K571" i="1"/>
  <c r="L433" i="1"/>
  <c r="L419" i="1"/>
  <c r="D81" i="2"/>
  <c r="I169" i="1"/>
  <c r="H169" i="1"/>
  <c r="J643" i="1"/>
  <c r="H476" i="1"/>
  <c r="H624" i="1"/>
  <c r="F476" i="1"/>
  <c r="H622" i="1"/>
  <c r="J622" i="1"/>
  <c r="I476" i="1"/>
  <c r="H625" i="1"/>
  <c r="J625" i="1"/>
  <c r="G338" i="1"/>
  <c r="G352" i="1"/>
  <c r="J140" i="1"/>
  <c r="F571" i="1"/>
  <c r="I552" i="1"/>
  <c r="K550" i="1"/>
  <c r="G22" i="2"/>
  <c r="K598" i="1"/>
  <c r="G647" i="1"/>
  <c r="J647" i="1"/>
  <c r="K545" i="1"/>
  <c r="J552" i="1"/>
  <c r="C29" i="10"/>
  <c r="H140" i="1"/>
  <c r="L401" i="1"/>
  <c r="C139" i="2"/>
  <c r="L393" i="1"/>
  <c r="F22" i="13"/>
  <c r="H25" i="13"/>
  <c r="C25" i="13"/>
  <c r="J651" i="1"/>
  <c r="J640" i="1"/>
  <c r="H571" i="1"/>
  <c r="L560" i="1"/>
  <c r="H338" i="1"/>
  <c r="H352" i="1"/>
  <c r="F338" i="1"/>
  <c r="F352" i="1"/>
  <c r="G192" i="1"/>
  <c r="H192" i="1"/>
  <c r="E128" i="2"/>
  <c r="F552" i="1"/>
  <c r="C35" i="10"/>
  <c r="L309" i="1"/>
  <c r="E16" i="13"/>
  <c r="L570" i="1"/>
  <c r="I571" i="1"/>
  <c r="I545" i="1"/>
  <c r="J636" i="1"/>
  <c r="G36" i="2"/>
  <c r="L565" i="1"/>
  <c r="K551" i="1"/>
  <c r="C22" i="13"/>
  <c r="C138" i="2"/>
  <c r="C16" i="13"/>
  <c r="A13" i="12"/>
  <c r="J649" i="1"/>
  <c r="H545" i="1"/>
  <c r="G545" i="1"/>
  <c r="K549" i="1"/>
  <c r="K552" i="1"/>
  <c r="L524" i="1"/>
  <c r="L545" i="1"/>
  <c r="K500" i="1"/>
  <c r="G476" i="1"/>
  <c r="H623" i="1"/>
  <c r="J623" i="1"/>
  <c r="G661" i="1"/>
  <c r="I661" i="1"/>
  <c r="D127" i="2"/>
  <c r="D128" i="2"/>
  <c r="D145" i="2"/>
  <c r="L362" i="1"/>
  <c r="C27" i="10"/>
  <c r="H664" i="1"/>
  <c r="H667" i="1"/>
  <c r="K271" i="1"/>
  <c r="H33" i="13"/>
  <c r="D12" i="13"/>
  <c r="C12" i="13"/>
  <c r="C119" i="2"/>
  <c r="C123" i="2"/>
  <c r="C109" i="2"/>
  <c r="D5" i="13"/>
  <c r="C5" i="13"/>
  <c r="D7" i="13"/>
  <c r="C7" i="13"/>
  <c r="D14" i="13"/>
  <c r="C14" i="13"/>
  <c r="E8" i="13"/>
  <c r="C8" i="13"/>
  <c r="D6" i="13"/>
  <c r="C6" i="13"/>
  <c r="C15" i="10"/>
  <c r="C121" i="2"/>
  <c r="C115" i="2"/>
  <c r="L211" i="1"/>
  <c r="L257" i="1"/>
  <c r="L271" i="1"/>
  <c r="G632" i="1"/>
  <c r="J632" i="1"/>
  <c r="C78" i="2"/>
  <c r="C81" i="2"/>
  <c r="F112" i="1"/>
  <c r="C62" i="2"/>
  <c r="C63" i="2"/>
  <c r="G624" i="1"/>
  <c r="J624" i="1"/>
  <c r="J617" i="1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E51" i="2"/>
  <c r="C50" i="2"/>
  <c r="F31" i="2"/>
  <c r="C31" i="2"/>
  <c r="E18" i="2"/>
  <c r="E144" i="2"/>
  <c r="F50" i="2"/>
  <c r="F51" i="2"/>
  <c r="E145" i="2"/>
  <c r="L338" i="1"/>
  <c r="L352" i="1"/>
  <c r="G633" i="1"/>
  <c r="J633" i="1"/>
  <c r="C24" i="10"/>
  <c r="G660" i="1"/>
  <c r="G31" i="13"/>
  <c r="G33" i="13"/>
  <c r="I338" i="1"/>
  <c r="I352" i="1"/>
  <c r="J650" i="1"/>
  <c r="L407" i="1"/>
  <c r="C140" i="2"/>
  <c r="C141" i="2"/>
  <c r="C144" i="2"/>
  <c r="L571" i="1"/>
  <c r="I192" i="1"/>
  <c r="E91" i="2"/>
  <c r="L408" i="1"/>
  <c r="G637" i="1"/>
  <c r="J637" i="1"/>
  <c r="D51" i="2"/>
  <c r="J654" i="1"/>
  <c r="J653" i="1"/>
  <c r="F144" i="2"/>
  <c r="F145" i="2" s="1"/>
  <c r="G21" i="2"/>
  <c r="G31" i="2"/>
  <c r="J32" i="1"/>
  <c r="L434" i="1"/>
  <c r="G638" i="1"/>
  <c r="J638" i="1"/>
  <c r="J434" i="1"/>
  <c r="F434" i="1"/>
  <c r="K434" i="1"/>
  <c r="G134" i="2"/>
  <c r="G144" i="2"/>
  <c r="G145" i="2"/>
  <c r="F31" i="13"/>
  <c r="J193" i="1"/>
  <c r="G646" i="1"/>
  <c r="F104" i="2"/>
  <c r="H193" i="1"/>
  <c r="G629" i="1"/>
  <c r="J629" i="1"/>
  <c r="G169" i="1"/>
  <c r="C39" i="10"/>
  <c r="G140" i="1"/>
  <c r="F140" i="1"/>
  <c r="C36" i="10"/>
  <c r="G63" i="2"/>
  <c r="J618" i="1"/>
  <c r="G42" i="2"/>
  <c r="J51" i="1"/>
  <c r="G16" i="2"/>
  <c r="J19" i="1"/>
  <c r="G621" i="1"/>
  <c r="F33" i="13"/>
  <c r="D31" i="13"/>
  <c r="C31" i="13"/>
  <c r="G18" i="2"/>
  <c r="F545" i="1"/>
  <c r="H434" i="1"/>
  <c r="J620" i="1"/>
  <c r="J619" i="1"/>
  <c r="D103" i="2"/>
  <c r="D104" i="2"/>
  <c r="I140" i="1"/>
  <c r="I193" i="1"/>
  <c r="G630" i="1"/>
  <c r="J630" i="1"/>
  <c r="A22" i="12"/>
  <c r="G50" i="2"/>
  <c r="G51" i="2"/>
  <c r="H648" i="1"/>
  <c r="J648" i="1"/>
  <c r="J652" i="1"/>
  <c r="J642" i="1"/>
  <c r="G571" i="1"/>
  <c r="I434" i="1"/>
  <c r="G434" i="1"/>
  <c r="E104" i="2"/>
  <c r="I663" i="1"/>
  <c r="G635" i="1"/>
  <c r="J635" i="1"/>
  <c r="H672" i="1"/>
  <c r="C6" i="10"/>
  <c r="G104" i="2"/>
  <c r="H646" i="1"/>
  <c r="J646" i="1"/>
  <c r="G664" i="1"/>
  <c r="C128" i="2"/>
  <c r="C28" i="10"/>
  <c r="D19" i="10"/>
  <c r="E33" i="13"/>
  <c r="D35" i="13"/>
  <c r="F660" i="1"/>
  <c r="F664" i="1"/>
  <c r="F672" i="1"/>
  <c r="C4" i="10"/>
  <c r="C145" i="2"/>
  <c r="F193" i="1"/>
  <c r="G627" i="1"/>
  <c r="J627" i="1"/>
  <c r="C104" i="2"/>
  <c r="C51" i="2"/>
  <c r="G631" i="1"/>
  <c r="J631" i="1"/>
  <c r="D33" i="13"/>
  <c r="D36" i="13"/>
  <c r="G193" i="1"/>
  <c r="G628" i="1"/>
  <c r="J628" i="1"/>
  <c r="G626" i="1"/>
  <c r="J626" i="1"/>
  <c r="J52" i="1"/>
  <c r="H621" i="1"/>
  <c r="J621" i="1"/>
  <c r="C38" i="10"/>
  <c r="G667" i="1"/>
  <c r="G672" i="1"/>
  <c r="C5" i="10"/>
  <c r="D26" i="10"/>
  <c r="D21" i="10"/>
  <c r="D16" i="10"/>
  <c r="D13" i="10"/>
  <c r="D11" i="10"/>
  <c r="D22" i="10"/>
  <c r="D10" i="10"/>
  <c r="C30" i="10"/>
  <c r="D23" i="10"/>
  <c r="D27" i="10"/>
  <c r="D18" i="10"/>
  <c r="D17" i="10"/>
  <c r="D12" i="10"/>
  <c r="D24" i="10"/>
  <c r="D20" i="10"/>
  <c r="D15" i="10"/>
  <c r="D25" i="10"/>
  <c r="I660" i="1"/>
  <c r="I664" i="1"/>
  <c r="I672" i="1"/>
  <c r="C7" i="10"/>
  <c r="F667" i="1"/>
  <c r="H656" i="1"/>
  <c r="C41" i="10"/>
  <c r="D38" i="10"/>
  <c r="D28" i="10"/>
  <c r="I667" i="1"/>
  <c r="D37" i="10"/>
  <c r="D36" i="10"/>
  <c r="D35" i="10"/>
  <c r="D40" i="10"/>
  <c r="D39" i="10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<sst xmlns="http://schemas.openxmlformats.org/spreadsheetml/2006/main" count="3959" uniqueCount="915">
  <si>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</si>
  <si>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</si>
  <si>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</si>
  <si>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</si>
  <si>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</si>
  <si>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</si>
  <si>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</si>
  <si>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</si>
  <si>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</si>
  <si>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</si>
  <si>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</si>
  <si>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</si>
  <si>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</si>
  <si>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</si>
  <si>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</si>
  <si>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</si>
  <si>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</si>
  <si>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</si>
  <si>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</si>
  <si>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</si>
  <si>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</si>
  <si>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</si>
  <si>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</si>
  <si>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</si>
  <si>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</si>
  <si>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</si>
  <si>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</si>
  <si>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</si>
  <si>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</si>
  <si>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</si>
  <si>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</si>
  <si>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</si>
  <si>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</si>
  <si>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</si>
  <si>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</si>
  <si>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</si>
  <si>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</si>
  <si>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</si>
  <si>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</si>
  <si>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</si>
  <si>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</si>
  <si>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</si>
  <si>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</si>
  <si>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</si>
  <si>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</si>
  <si>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</si>
  <si>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</si>
  <si>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</si>
  <si>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</si>
  <si>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</si>
  <si>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</si>
  <si>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</si>
  <si>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</si>
  <si>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</si>
  <si>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</si>
  <si>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</si>
  <si>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</si>
  <si>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</si>
  <si>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</si>
  <si>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</si>
  <si>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</si>
  <si>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</si>
  <si>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</si>
  <si>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</si>
  <si>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</si>
  <si>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</si>
  <si>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</si>
  <si>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</si>
  <si>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</si>
  <si>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</si>
  <si>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</si>
  <si>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</si>
  <si>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</si>
  <si>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</si>
  <si>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</si>
  <si>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</si>
  <si>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</si>
  <si>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</si>
  <si>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</si>
  <si>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</si>
  <si>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</si>
  <si>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</si>
  <si>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</si>
  <si>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</si>
  <si>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</si>
  <si>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</si>
  <si>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</si>
  <si>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</si>
  <si>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</si>
  <si>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</si>
  <si>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</si>
  <si>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</si>
  <si>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</si>
  <si>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</si>
  <si>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</si>
  <si>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</si>
  <si>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</si>
  <si>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</si>
  <si>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</si>
  <si>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</si>
  <si>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</si>
  <si>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</si>
  <si>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</si>
  <si>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</si>
  <si>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</si>
  <si>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</si>
  <si>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</si>
  <si>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</si>
  <si>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</si>
  <si>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</si>
  <si>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</si>
  <si>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</si>
  <si>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</si>
  <si>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</si>
  <si>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</si>
  <si>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</si>
  <si>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</si>
  <si>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</si>
  <si>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</si>
  <si>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</si>
  <si>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</si>
  <si>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</si>
  <si>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</si>
  <si>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</si>
  <si>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</si>
  <si>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</si>
  <si>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</si>
  <si>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</si>
  <si>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</si>
  <si>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</si>
  <si>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</si>
  <si>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</si>
  <si>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</si>
  <si>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</si>
  <si>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</si>
  <si>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</si>
  <si>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</si>
  <si>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</si>
  <si>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</si>
  <si>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</si>
  <si>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</si>
  <si>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</si>
  <si>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</si>
  <si>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</si>
  <si>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</si>
  <si>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</si>
  <si>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</si>
  <si>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</si>
  <si>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</si>
  <si>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</si>
  <si>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</si>
  <si>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</si>
  <si>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</si>
  <si>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</si>
  <si>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</si>
  <si>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</si>
  <si>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</si>
  <si>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</si>
  <si>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</si>
  <si>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</si>
  <si>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</si>
  <si>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</si>
  <si>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</si>
  <si>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</si>
  <si>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</si>
  <si>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</si>
  <si>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</si>
  <si>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</si>
  <si>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</si>
  <si>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</si>
  <si>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</si>
  <si>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</si>
  <si>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</si>
  <si>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</si>
  <si>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</si>
  <si>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</si>
  <si>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</si>
  <si>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</si>
  <si>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</si>
  <si>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</si>
  <si>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</si>
  <si>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</si>
  <si>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</si>
  <si>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</si>
  <si>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</si>
  <si>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</si>
  <si>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</si>
  <si>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</si>
  <si>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</si>
  <si>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</si>
  <si>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</si>
  <si>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</si>
  <si>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</si>
  <si>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</si>
  <si>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</si>
  <si>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</si>
  <si>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</si>
  <si>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</si>
  <si>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</si>
  <si>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</si>
  <si>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</si>
  <si>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</si>
  <si>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</si>
  <si>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</si>
  <si>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</si>
  <si>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</si>
  <si>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</si>
  <si>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</si>
  <si>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</si>
  <si>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</si>
  <si>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</si>
  <si>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</si>
  <si>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</si>
  <si>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</si>
  <si>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</si>
  <si>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</si>
  <si>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</si>
  <si>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</si>
  <si>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</si>
  <si>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</si>
  <si>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</si>
  <si>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</si>
  <si>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</si>
  <si>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</si>
  <si>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</si>
  <si>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</si>
  <si>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</si>
  <si>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</si>
  <si>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</si>
  <si>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</si>
  <si>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</si>
  <si>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</si>
  <si>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</si>
  <si>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</si>
  <si>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</si>
  <si>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</si>
  <si>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</si>
  <si>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</si>
  <si>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</si>
  <si>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</si>
  <si>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</si>
  <si>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</si>
  <si>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</si>
  <si>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</si>
  <si>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</si>
  <si>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</si>
  <si>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</si>
  <si>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</si>
  <si>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</si>
  <si>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</si>
  <si>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</si>
  <si>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</si>
  <si>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</si>
  <si>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</si>
  <si>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</si>
  <si>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</si>
  <si>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</si>
  <si>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</si>
  <si>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</si>
  <si>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</si>
  <si>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</si>
  <si>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</si>
  <si>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</si>
  <si>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</si>
  <si>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</si>
  <si>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</si>
  <si>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</si>
  <si>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</si>
  <si>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</si>
  <si>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</si>
  <si>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</si>
  <si>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</si>
  <si>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</si>
  <si>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</si>
  <si>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</si>
  <si>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</si>
  <si>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</si>
  <si>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</si>
  <si>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</si>
  <si>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</si>
  <si>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</si>
  <si>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</si>
  <si>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</si>
  <si>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</si>
  <si>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</si>
  <si>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</si>
  <si>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</si>
  <si>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</si>
  <si>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</si>
  <si>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</si>
  <si>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</si>
  <si>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</si>
  <si>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</si>
  <si>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</si>
  <si>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</si>
  <si>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</si>
  <si>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</si>
  <si>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</si>
  <si>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</si>
  <si>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</si>
  <si>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</si>
  <si>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</si>
  <si>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</si>
  <si>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</si>
  <si>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</si>
  <si>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</si>
  <si>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</si>
  <si>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</si>
  <si>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</si>
  <si>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</si>
  <si>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</si>
  <si>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</si>
  <si>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</si>
  <si>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</si>
  <si>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</si>
  <si>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</si>
  <si>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</si>
  <si>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</si>
  <si>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</si>
  <si>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</si>
  <si>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</si>
  <si>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</si>
  <si>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</si>
  <si>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</si>
  <si>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</si>
  <si>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</si>
  <si>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</si>
  <si>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</si>
  <si>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</si>
  <si>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</si>
  <si>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</si>
  <si>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</si>
  <si>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</si>
  <si>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</si>
  <si>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</si>
  <si>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</si>
  <si>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</si>
  <si>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</si>
  <si>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</si>
  <si>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</si>
  <si>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</si>
  <si>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</si>
  <si>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</si>
  <si>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</si>
  <si>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</si>
  <si>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</si>
  <si>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</si>
  <si>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</si>
  <si>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</si>
  <si>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</si>
  <si>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</si>
  <si>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</si>
  <si>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</si>
  <si>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</si>
  <si>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</si>
  <si>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</si>
  <si>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</si>
  <si>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</si>
  <si>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</si>
  <si>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</si>
  <si>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</si>
  <si>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</si>
  <si>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</si>
  <si>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</si>
  <si>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</si>
  <si>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</si>
  <si>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</si>
  <si>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</si>
  <si>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</si>
  <si>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</si>
  <si>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</si>
  <si>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</si>
  <si>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</si>
  <si>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</si>
  <si>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</si>
  <si>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</si>
  <si>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</si>
  <si>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</si>
  <si>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</si>
  <si>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</si>
  <si>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</si>
  <si>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</si>
  <si>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</si>
  <si>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</si>
  <si>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</si>
  <si>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</si>
  <si>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</si>
  <si>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</si>
  <si>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</si>
  <si>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</si>
  <si>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</si>
  <si>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</si>
  <si>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</si>
  <si>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</si>
  <si>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</si>
  <si>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</si>
  <si>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</si>
  <si>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</si>
  <si>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</si>
  <si>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</si>
  <si>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</si>
  <si>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</si>
  <si>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</si>
  <si>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</si>
  <si>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</si>
  <si>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</si>
  <si>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</si>
  <si>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</si>
  <si>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</si>
  <si>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</si>
  <si>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</si>
  <si>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</si>
  <si>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</si>
  <si>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</si>
  <si>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</si>
  <si>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</si>
  <si>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</si>
  <si>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</si>
  <si>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</si>
  <si>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</si>
  <si>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</si>
  <si>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</si>
  <si>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</si>
  <si>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</si>
  <si>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</si>
  <si>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</si>
  <si>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</si>
  <si>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</si>
  <si>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</si>
  <si>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</si>
  <si>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</si>
  <si>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</si>
  <si>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</si>
  <si>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</si>
  <si>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</si>
  <si>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</si>
  <si>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</si>
  <si>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</si>
  <si>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</si>
  <si>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</si>
  <si>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</si>
  <si>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</si>
  <si>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</si>
  <si>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</si>
  <si>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</si>
  <si>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</si>
  <si>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</si>
  <si>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</si>
  <si>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</si>
  <si>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</si>
  <si>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</si>
  <si>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</si>
  <si>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</si>
  <si>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</si>
  <si>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</si>
  <si>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</si>
  <si>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</si>
  <si>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</si>
  <si>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</si>
  <si>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</si>
  <si>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</si>
  <si>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</si>
  <si>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</si>
  <si>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</si>
  <si>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</si>
  <si>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</si>
  <si>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</si>
  <si>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</si>
  <si>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</si>
  <si>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</si>
  <si>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</si>
  <si>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</si>
  <si>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</si>
  <si>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</si>
  <si>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</si>
  <si>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</si>
  <si>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</si>
  <si>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</si>
  <si>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</si>
  <si>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</si>
  <si>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</si>
  <si>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</si>
  <si>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</si>
  <si>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</si>
  <si>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</si>
  <si>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</si>
  <si>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</si>
  <si>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</si>
  <si>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</si>
  <si>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</si>
  <si>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</si>
  <si>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</si>
  <si>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</si>
  <si>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</si>
  <si>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</si>
  <si>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</si>
  <si>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</si>
  <si>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</si>
  <si>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</si>
  <si>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</si>
  <si>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</si>
  <si>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</si>
  <si>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</si>
  <si>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</si>
  <si>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</si>
  <si>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</si>
  <si>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</si>
  <si>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</si>
  <si>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</si>
  <si>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</si>
  <si>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</si>
  <si>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</si>
  <si>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</si>
  <si>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</si>
  <si>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</si>
  <si>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</si>
  <si>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</si>
  <si>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</si>
  <si>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</si>
  <si>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</si>
  <si>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</si>
  <si>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</si>
  <si>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</si>
  <si>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</si>
  <si>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</si>
  <si>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</si>
  <si>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</si>
  <si>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</si>
  <si>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</si>
  <si>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</si>
  <si>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</si>
  <si>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</si>
  <si>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</si>
  <si>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</si>
  <si>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</si>
  <si>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</si>
  <si>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</si>
  <si>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</si>
  <si>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</si>
  <si>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</si>
  <si>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</si>
  <si>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</si>
  <si>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</si>
  <si>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</si>
  <si>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</si>
  <si>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</si>
  <si>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</si>
  <si>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</si>
  <si>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</si>
  <si>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</si>
  <si>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</si>
  <si>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</si>
  <si>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</si>
  <si>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</si>
  <si>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</si>
  <si>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</si>
  <si>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</si>
  <si>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</si>
  <si>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</si>
  <si>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</si>
  <si>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</si>
  <si>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</si>
  <si>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</si>
  <si>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</si>
  <si>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</si>
  <si>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</si>
  <si>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</si>
  <si>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</si>
  <si>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</si>
  <si>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</si>
  <si>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</si>
  <si>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</si>
  <si>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</si>
  <si>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</si>
  <si>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</si>
  <si>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</si>
  <si>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</si>
  <si>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</si>
  <si>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</si>
  <si>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</si>
  <si>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</si>
  <si>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</si>
  <si>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</si>
  <si>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</si>
  <si>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</si>
  <si>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</si>
  <si>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</si>
  <si>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</si>
  <si>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</si>
  <si>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</si>
  <si>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</si>
  <si>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</si>
  <si>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</si>
  <si>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</si>
  <si>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</si>
  <si>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</si>
  <si>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</si>
  <si>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</si>
  <si>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</si>
  <si>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</si>
  <si>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</si>
  <si>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</si>
  <si>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</si>
  <si>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</si>
  <si>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</si>
  <si>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</si>
  <si>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</si>
  <si>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</si>
  <si>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</si>
  <si>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</si>
  <si>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</si>
  <si>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</si>
  <si>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</si>
  <si>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</si>
  <si>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</si>
  <si>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</si>
  <si>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</si>
  <si>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</si>
  <si>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</si>
  <si>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</si>
  <si>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</si>
  <si>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</si>
  <si>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</si>
  <si>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</si>
  <si>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</si>
  <si>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</si>
  <si>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</si>
  <si>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</si>
  <si>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</si>
  <si>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</si>
  <si>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</si>
  <si>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</si>
  <si>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</si>
  <si>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</si>
  <si>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</si>
  <si>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</si>
  <si>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</si>
  <si>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</si>
  <si>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</si>
  <si>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</si>
  <si>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</si>
  <si>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</si>
  <si>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</si>
  <si>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</si>
  <si>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</si>
  <si>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</si>
  <si>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</si>
  <si>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</si>
  <si>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</si>
  <si>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</si>
  <si>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</si>
  <si>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</si>
  <si>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</si>
  <si>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</si>
  <si>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</si>
  <si>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</si>
  <si>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</si>
  <si>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</si>
  <si>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</si>
  <si>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</si>
  <si>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</si>
  <si>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</si>
  <si>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</si>
  <si>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</si>
  <si>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</si>
  <si>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</si>
  <si>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</si>
  <si>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</si>
  <si>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</si>
  <si>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</si>
  <si>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</si>
  <si>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</si>
  <si>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</si>
  <si>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</si>
  <si>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</si>
  <si>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</si>
  <si>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</si>
  <si>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</si>
  <si>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</si>
  <si>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</si>
  <si>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</si>
  <si>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</si>
  <si>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</si>
  <si>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</si>
  <si>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</si>
  <si>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</si>
  <si>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</si>
  <si>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</si>
  <si>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</si>
  <si>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</si>
  <si>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</si>
  <si>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</si>
  <si>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</si>
  <si>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</si>
  <si>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</si>
  <si>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</si>
  <si>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</si>
  <si>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</si>
  <si>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</si>
  <si>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</si>
  <si>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</si>
  <si>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</si>
  <si>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</si>
  <si>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</si>
  <si>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</si>
  <si>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</si>
  <si>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</si>
  <si>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</si>
  <si>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</si>
  <si>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</si>
  <si>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</si>
  <si>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</si>
  <si>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</si>
  <si>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</si>
  <si>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</si>
  <si>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</si>
  <si>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</si>
  <si>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</si>
  <si>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</si>
  <si>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</si>
  <si>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</si>
  <si>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</si>
  <si>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</si>
  <si>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</si>
  <si>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</si>
  <si>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</si>
  <si>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</si>
  <si>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</si>
  <si>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</si>
  <si>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</si>
  <si>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</si>
  <si>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</si>
  <si>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</si>
  <si>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</si>
  <si>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</si>
  <si>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</si>
  <si>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</si>
  <si>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</si>
  <si>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</si>
  <si>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</si>
  <si>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</si>
  <si>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</si>
  <si>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</si>
  <si>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</si>
  <si>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</si>
  <si>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</si>
  <si>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</si>
  <si>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</si>
  <si>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</si>
  <si>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</si>
  <si>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</si>
  <si>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</si>
  <si>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</si>
  <si>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</si>
  <si>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</si>
  <si>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</si>
  <si>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</si>
  <si>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</si>
  <si>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</si>
  <si>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</si>
  <si>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</si>
  <si>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</si>
  <si>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</si>
  <si>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</si>
  <si>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</si>
  <si>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</si>
  <si>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</si>
  <si>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</si>
  <si>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</si>
  <si>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</si>
  <si>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</si>
  <si>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</si>
  <si>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</si>
  <si>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</si>
  <si>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</si>
  <si>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</si>
  <si>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</si>
  <si>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</si>
  <si>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</si>
  <si>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</si>
  <si>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</si>
  <si>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</si>
  <si>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</si>
  <si>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</si>
  <si>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</si>
  <si>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</si>
  <si>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</si>
  <si>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</si>
  <si>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</si>
  <si>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</si>
  <si>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</si>
  <si>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</si>
  <si>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</si>
  <si>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</si>
  <si>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</si>
  <si>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</si>
  <si>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</si>
  <si>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</si>
  <si>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</si>
  <si>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</si>
  <si>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</si>
  <si>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</si>
  <si>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</si>
  <si>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</si>
  <si>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</si>
  <si>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</si>
  <si>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</si>
  <si>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</si>
  <si>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</si>
  <si>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</si>
  <si>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</si>
  <si>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</si>
  <si>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</si>
  <si>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</si>
  <si>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</si>
  <si>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</si>
  <si>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</si>
  <si>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</si>
  <si>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</si>
  <si>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</si>
  <si>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</si>
  <si>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</si>
  <si>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</si>
  <si>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</si>
  <si>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</si>
  <si>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</si>
  <si>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</si>
  <si>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</si>
  <si>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</si>
  <si>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</si>
  <si>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</si>
  <si>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</si>
  <si>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</si>
  <si>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</si>
  <si>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</si>
  <si>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</si>
  <si>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</si>
  <si>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</si>
  <si>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</si>
  <si>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</si>
  <si>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</si>
  <si>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</si>
  <si>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</si>
  <si>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</si>
  <si>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</si>
  <si>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</si>
  <si>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</si>
  <si>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</si>
  <si>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</si>
  <si>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</si>
  <si>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</si>
  <si>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</si>
  <si>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</si>
  <si>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</si>
  <si>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</si>
  <si>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</si>
  <si>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</si>
  <si>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</si>
  <si>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</si>
  <si>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</si>
  <si>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</si>
  <si>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</si>
  <si>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</si>
  <si>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</si>
  <si>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</si>
  <si>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</si>
  <si>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</si>
  <si>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</si>
  <si>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</si>
  <si>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</si>
  <si>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</si>
  <si>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</si>
  <si>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</si>
  <si>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</si>
  <si>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</si>
  <si>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</si>
  <si>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</si>
  <si>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</si>
  <si>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</si>
  <si>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</si>
  <si>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</si>
  <si>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</si>
  <si>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</si>
  <si>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</si>
  <si>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</si>
  <si>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</si>
  <si>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</si>
  <si>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</si>
  <si>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</si>
  <si>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</si>
  <si>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</si>
  <si>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</si>
  <si>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</si>
  <si>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</si>
  <si>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</si>
  <si>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</si>
  <si>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</si>
  <si>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</si>
  <si>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</si>
  <si>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</si>
  <si>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</si>
  <si>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</si>
  <si>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</si>
  <si>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</si>
  <si>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</si>
  <si>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</si>
  <si>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</si>
  <si>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</si>
  <si>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</si>
  <si>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</si>
  <si>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</si>
  <si>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</si>
  <si>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BRENTWOOD SCHOOL DISTRICT</t>
  </si>
  <si>
    <t>08/01</t>
  </si>
  <si>
    <t>08/21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</si>
</sst>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25" zoomScaleNormal="125" workbookViewId="0">
      <pane xSplit="5" ySplit="3" topLeftCell="F646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63</v>
      </c>
      <c r="C2" s="21">
        <v>63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29514.03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247050.06</v>
      </c>
      <c r="G10" s="18"/>
      <c r="H10" s="18"/>
      <c r="I10" s="18"/>
      <c r="J10" s="67">
        <f>SUM(I440)</f>
        <v>185604.36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16032.25</v>
      </c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1534.25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294130.58999999997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185604.36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36003.17</v>
      </c>
      <c r="G22" s="18">
        <v>-1511.32</v>
      </c>
      <c r="H22" s="18">
        <v>-34491.85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21805.79</v>
      </c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154172.82999999999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211981.78999999998</v>
      </c>
      <c r="G32" s="41">
        <f>SUM(G22:G31)</f>
        <v>-1511.32</v>
      </c>
      <c r="H32" s="41">
        <f>SUM(H22:H31)</f>
        <v>-34491.85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30000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v>1511.32</v>
      </c>
      <c r="H48" s="18">
        <v>34491.85</v>
      </c>
      <c r="I48" s="18"/>
      <c r="J48" s="13">
        <f>SUM(I459)</f>
        <v>185604.36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52148.800000000003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82148.800000000003</v>
      </c>
      <c r="G51" s="41">
        <f>SUM(G35:G50)</f>
        <v>1511.32</v>
      </c>
      <c r="H51" s="41">
        <f>SUM(H35:H50)</f>
        <v>34491.85</v>
      </c>
      <c r="I51" s="41">
        <f>SUM(I35:I50)</f>
        <v>0</v>
      </c>
      <c r="J51" s="41">
        <f>SUM(J35:J50)</f>
        <v>185604.36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294130.58999999997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185604.36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3725299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3725299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5770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5770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797.78</v>
      </c>
      <c r="G96" s="18">
        <v>8.5</v>
      </c>
      <c r="H96" s="18"/>
      <c r="I96" s="18"/>
      <c r="J96" s="18">
        <v>2562.0500000000002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75486.509999999995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>
        <v>15512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1050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648.36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2496.14</v>
      </c>
      <c r="G111" s="41">
        <f>SUM(G96:G110)</f>
        <v>75495.009999999995</v>
      </c>
      <c r="H111" s="41">
        <f>SUM(H96:H110)</f>
        <v>15512</v>
      </c>
      <c r="I111" s="41">
        <f>SUM(I96:I110)</f>
        <v>0</v>
      </c>
      <c r="J111" s="41">
        <f>SUM(J96:J110)</f>
        <v>2562.0500000000002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3733565.14</v>
      </c>
      <c r="G112" s="41">
        <f>G60+G111</f>
        <v>75495.009999999995</v>
      </c>
      <c r="H112" s="41">
        <f>H60+H79+H94+H111</f>
        <v>15512</v>
      </c>
      <c r="I112" s="41">
        <f>I60+I111</f>
        <v>0</v>
      </c>
      <c r="J112" s="41">
        <f>J60+J111</f>
        <v>2562.0500000000002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736506.96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467570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6236.09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1210313.05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71888.960000000006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14073.36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1736.66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85962.32</v>
      </c>
      <c r="G136" s="41">
        <f>SUM(G123:G135)</f>
        <v>1736.66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1296275.3700000001</v>
      </c>
      <c r="G140" s="41">
        <f>G121+SUM(G136:G137)</f>
        <v>1736.66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/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26277.05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42124.18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42124.18</v>
      </c>
      <c r="G162" s="41">
        <f>SUM(G150:G161)</f>
        <v>26277.05</v>
      </c>
      <c r="H162" s="41">
        <f>SUM(H150:H161)</f>
        <v>0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42124.18</v>
      </c>
      <c r="G169" s="41">
        <f>G147+G162+SUM(G163:G168)</f>
        <v>26277.05</v>
      </c>
      <c r="H169" s="41">
        <f>H147+H162+SUM(H163:H168)</f>
        <v>0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30000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30000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30000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5071964.6899999995</v>
      </c>
      <c r="G193" s="47">
        <f>G112+G140+G169+G192</f>
        <v>103508.72</v>
      </c>
      <c r="H193" s="47">
        <f>H112+H140+H169+H192</f>
        <v>15512</v>
      </c>
      <c r="I193" s="47">
        <f>I112+I140+I169+I192</f>
        <v>0</v>
      </c>
      <c r="J193" s="47">
        <f>J112+J140+J192</f>
        <v>32562.05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1551946.54</v>
      </c>
      <c r="G197" s="18">
        <v>566921.59</v>
      </c>
      <c r="H197" s="18"/>
      <c r="I197" s="18">
        <v>83988.38</v>
      </c>
      <c r="J197" s="18"/>
      <c r="K197" s="18"/>
      <c r="L197" s="19">
        <f>SUM(F197:K197)</f>
        <v>2202856.5099999998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608267.68000000005</v>
      </c>
      <c r="G198" s="18">
        <v>175917.66</v>
      </c>
      <c r="H198" s="18">
        <v>150164.32</v>
      </c>
      <c r="I198" s="18">
        <v>6961.31</v>
      </c>
      <c r="J198" s="18">
        <v>100</v>
      </c>
      <c r="K198" s="18"/>
      <c r="L198" s="19">
        <f>SUM(F198:K198)</f>
        <v>941410.9700000002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5620</v>
      </c>
      <c r="G200" s="18">
        <v>1250.05</v>
      </c>
      <c r="H200" s="18"/>
      <c r="I200" s="18"/>
      <c r="J200" s="18"/>
      <c r="K200" s="18"/>
      <c r="L200" s="19">
        <f>SUM(F200:K200)</f>
        <v>6870.05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294027.3</v>
      </c>
      <c r="G202" s="18">
        <v>106021.33</v>
      </c>
      <c r="H202" s="18">
        <v>6161.79</v>
      </c>
      <c r="I202" s="18">
        <v>6784.33</v>
      </c>
      <c r="J202" s="18"/>
      <c r="K202" s="18"/>
      <c r="L202" s="19">
        <f t="shared" ref="L202:L208" si="0">SUM(F202:K202)</f>
        <v>412994.75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123426.66</v>
      </c>
      <c r="G203" s="18">
        <v>27453.73</v>
      </c>
      <c r="H203" s="18">
        <v>21279.29</v>
      </c>
      <c r="I203" s="18">
        <v>19309.72</v>
      </c>
      <c r="J203" s="18">
        <v>88612.98</v>
      </c>
      <c r="K203" s="18"/>
      <c r="L203" s="19">
        <f t="shared" si="0"/>
        <v>280082.38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1450</v>
      </c>
      <c r="G204" s="18">
        <v>106.92</v>
      </c>
      <c r="H204" s="18">
        <v>109958.41</v>
      </c>
      <c r="I204" s="18"/>
      <c r="J204" s="18"/>
      <c r="K204" s="18"/>
      <c r="L204" s="19">
        <f t="shared" si="0"/>
        <v>111515.33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196638</v>
      </c>
      <c r="G205" s="18">
        <v>92009.76</v>
      </c>
      <c r="H205" s="18">
        <v>20416.560000000001</v>
      </c>
      <c r="I205" s="18">
        <v>3253.79</v>
      </c>
      <c r="J205" s="18">
        <v>199.48</v>
      </c>
      <c r="K205" s="18">
        <v>134.99</v>
      </c>
      <c r="L205" s="19">
        <f t="shared" si="0"/>
        <v>312652.57999999996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166990.07999999999</v>
      </c>
      <c r="G207" s="18">
        <v>12313.64</v>
      </c>
      <c r="H207" s="18">
        <v>67871.97</v>
      </c>
      <c r="I207" s="18">
        <v>98296.67</v>
      </c>
      <c r="J207" s="18">
        <v>99229.91</v>
      </c>
      <c r="K207" s="18"/>
      <c r="L207" s="19">
        <f t="shared" si="0"/>
        <v>444702.27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211033.85</v>
      </c>
      <c r="I208" s="18"/>
      <c r="J208" s="18"/>
      <c r="K208" s="18"/>
      <c r="L208" s="19">
        <f t="shared" si="0"/>
        <v>211033.85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2948366.2600000002</v>
      </c>
      <c r="G211" s="41">
        <f t="shared" si="1"/>
        <v>981994.68</v>
      </c>
      <c r="H211" s="41">
        <f t="shared" si="1"/>
        <v>586886.19000000006</v>
      </c>
      <c r="I211" s="41">
        <f t="shared" si="1"/>
        <v>218594.2</v>
      </c>
      <c r="J211" s="41">
        <f t="shared" si="1"/>
        <v>188142.37</v>
      </c>
      <c r="K211" s="41">
        <f t="shared" si="1"/>
        <v>134.99</v>
      </c>
      <c r="L211" s="41">
        <f t="shared" si="1"/>
        <v>4924118.6899999995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2948366.2600000002</v>
      </c>
      <c r="G257" s="41">
        <f t="shared" si="8"/>
        <v>981994.68</v>
      </c>
      <c r="H257" s="41">
        <f t="shared" si="8"/>
        <v>586886.19000000006</v>
      </c>
      <c r="I257" s="41">
        <f t="shared" si="8"/>
        <v>218594.2</v>
      </c>
      <c r="J257" s="41">
        <f t="shared" si="8"/>
        <v>188142.37</v>
      </c>
      <c r="K257" s="41">
        <f t="shared" si="8"/>
        <v>134.99</v>
      </c>
      <c r="L257" s="41">
        <f t="shared" si="8"/>
        <v>4924118.6899999995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161184.71</v>
      </c>
      <c r="L260" s="19">
        <f>SUM(F260:K260)</f>
        <v>161184.71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182302.79</v>
      </c>
      <c r="L261" s="19">
        <f>SUM(F261:K261)</f>
        <v>182302.79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30000</v>
      </c>
      <c r="L266" s="19">
        <f t="shared" si="9"/>
        <v>30000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373487.5</v>
      </c>
      <c r="L270" s="41">
        <f t="shared" si="9"/>
        <v>373487.5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2948366.2600000002</v>
      </c>
      <c r="G271" s="42">
        <f t="shared" si="11"/>
        <v>981994.68</v>
      </c>
      <c r="H271" s="42">
        <f t="shared" si="11"/>
        <v>586886.19000000006</v>
      </c>
      <c r="I271" s="42">
        <f t="shared" si="11"/>
        <v>218594.2</v>
      </c>
      <c r="J271" s="42">
        <f t="shared" si="11"/>
        <v>188142.37</v>
      </c>
      <c r="K271" s="42">
        <f t="shared" si="11"/>
        <v>373622.49</v>
      </c>
      <c r="L271" s="42">
        <f t="shared" si="11"/>
        <v>5297606.1899999995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7930</v>
      </c>
      <c r="G276" s="18"/>
      <c r="H276" s="18"/>
      <c r="I276" s="18">
        <v>6721.5</v>
      </c>
      <c r="J276" s="18"/>
      <c r="K276" s="18"/>
      <c r="L276" s="19">
        <f>SUM(F276:K276)</f>
        <v>14651.5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7930</v>
      </c>
      <c r="G290" s="42">
        <f t="shared" si="13"/>
        <v>0</v>
      </c>
      <c r="H290" s="42">
        <f t="shared" si="13"/>
        <v>0</v>
      </c>
      <c r="I290" s="42">
        <f t="shared" si="13"/>
        <v>6721.5</v>
      </c>
      <c r="J290" s="42">
        <f t="shared" si="13"/>
        <v>0</v>
      </c>
      <c r="K290" s="42">
        <f t="shared" si="13"/>
        <v>0</v>
      </c>
      <c r="L290" s="41">
        <f t="shared" si="13"/>
        <v>14651.5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7930</v>
      </c>
      <c r="G338" s="41">
        <f t="shared" si="20"/>
        <v>0</v>
      </c>
      <c r="H338" s="41">
        <f t="shared" si="20"/>
        <v>0</v>
      </c>
      <c r="I338" s="41">
        <f t="shared" si="20"/>
        <v>6721.5</v>
      </c>
      <c r="J338" s="41">
        <f t="shared" si="20"/>
        <v>0</v>
      </c>
      <c r="K338" s="41">
        <f t="shared" si="20"/>
        <v>0</v>
      </c>
      <c r="L338" s="41">
        <f t="shared" si="20"/>
        <v>14651.5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7930</v>
      </c>
      <c r="G352" s="41">
        <f>G338</f>
        <v>0</v>
      </c>
      <c r="H352" s="41">
        <f>H338</f>
        <v>0</v>
      </c>
      <c r="I352" s="41">
        <f>I338</f>
        <v>6721.5</v>
      </c>
      <c r="J352" s="41">
        <f>J338</f>
        <v>0</v>
      </c>
      <c r="K352" s="47">
        <f>K338+K351</f>
        <v>0</v>
      </c>
      <c r="L352" s="41">
        <f>L338+L351</f>
        <v>14651.5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39761.51</v>
      </c>
      <c r="G358" s="18">
        <v>17480.11</v>
      </c>
      <c r="H358" s="18">
        <v>4292.24</v>
      </c>
      <c r="I358" s="18">
        <v>41974.86</v>
      </c>
      <c r="J358" s="18"/>
      <c r="K358" s="18"/>
      <c r="L358" s="13">
        <f>SUM(F358:K358)</f>
        <v>103508.72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39761.51</v>
      </c>
      <c r="G362" s="47">
        <f t="shared" si="22"/>
        <v>17480.11</v>
      </c>
      <c r="H362" s="47">
        <f t="shared" si="22"/>
        <v>4292.24</v>
      </c>
      <c r="I362" s="47">
        <f t="shared" si="22"/>
        <v>41974.86</v>
      </c>
      <c r="J362" s="47">
        <f t="shared" si="22"/>
        <v>0</v>
      </c>
      <c r="K362" s="47">
        <f t="shared" si="22"/>
        <v>0</v>
      </c>
      <c r="L362" s="47">
        <f t="shared" si="22"/>
        <v>103508.72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41974.86</v>
      </c>
      <c r="G367" s="18"/>
      <c r="H367" s="18"/>
      <c r="I367" s="56">
        <f>SUM(F367:H367)</f>
        <v>41974.86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0</v>
      </c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41974.86</v>
      </c>
      <c r="G369" s="47">
        <f>SUM(G367:G368)</f>
        <v>0</v>
      </c>
      <c r="H369" s="47">
        <f>SUM(H367:H368)</f>
        <v>0</v>
      </c>
      <c r="I369" s="47">
        <f>SUM(I367:I368)</f>
        <v>41974.86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10000</v>
      </c>
      <c r="H396" s="18">
        <v>1233.4100000000001</v>
      </c>
      <c r="I396" s="18"/>
      <c r="J396" s="24" t="s">
        <v>286</v>
      </c>
      <c r="K396" s="24" t="s">
        <v>286</v>
      </c>
      <c r="L396" s="56">
        <f t="shared" si="26"/>
        <v>11233.41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10000</v>
      </c>
      <c r="H397" s="18">
        <v>1042.69</v>
      </c>
      <c r="I397" s="18"/>
      <c r="J397" s="24" t="s">
        <v>286</v>
      </c>
      <c r="K397" s="24" t="s">
        <v>286</v>
      </c>
      <c r="L397" s="56">
        <f t="shared" si="26"/>
        <v>11042.69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>
        <v>10000</v>
      </c>
      <c r="H400" s="18">
        <v>285.95</v>
      </c>
      <c r="I400" s="18"/>
      <c r="J400" s="24" t="s">
        <v>286</v>
      </c>
      <c r="K400" s="24" t="s">
        <v>286</v>
      </c>
      <c r="L400" s="56">
        <f t="shared" si="26"/>
        <v>10285.950000000001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30000</v>
      </c>
      <c r="H401" s="47">
        <f>SUM(H395:H400)</f>
        <v>2562.0500000000002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32562.05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30000</v>
      </c>
      <c r="H408" s="47">
        <f>H393+H401+H407</f>
        <v>2562.0500000000002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32562.05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>
        <v>20000</v>
      </c>
      <c r="I422" s="18"/>
      <c r="J422" s="18"/>
      <c r="K422" s="18"/>
      <c r="L422" s="56">
        <f t="shared" si="29"/>
        <v>20000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20000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20000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20000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20000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v>185604.36</v>
      </c>
      <c r="H440" s="18"/>
      <c r="I440" s="56">
        <f t="shared" si="33"/>
        <v>185604.36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185604.36</v>
      </c>
      <c r="H446" s="13">
        <f>SUM(H439:H445)</f>
        <v>0</v>
      </c>
      <c r="I446" s="13">
        <f>SUM(I439:I445)</f>
        <v>185604.36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185604.36</v>
      </c>
      <c r="H459" s="18"/>
      <c r="I459" s="56">
        <f t="shared" si="34"/>
        <v>185604.36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185604.36</v>
      </c>
      <c r="H460" s="83">
        <f>SUM(H454:H459)</f>
        <v>0</v>
      </c>
      <c r="I460" s="83">
        <f>SUM(I454:I459)</f>
        <v>185604.36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185604.36</v>
      </c>
      <c r="H461" s="42">
        <f>H452+H460</f>
        <v>0</v>
      </c>
      <c r="I461" s="42">
        <f>I452+I460</f>
        <v>185604.36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307790.3</v>
      </c>
      <c r="G465" s="18">
        <v>1511.32</v>
      </c>
      <c r="H465" s="18">
        <v>33631.35</v>
      </c>
      <c r="I465" s="18"/>
      <c r="J465" s="18">
        <v>173042.31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5071964.6900000004</v>
      </c>
      <c r="G468" s="18">
        <v>103508.72</v>
      </c>
      <c r="H468" s="18">
        <v>15512</v>
      </c>
      <c r="I468" s="18"/>
      <c r="J468" s="18">
        <v>32562.05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5071964.6900000004</v>
      </c>
      <c r="G470" s="53">
        <f>SUM(G468:G469)</f>
        <v>103508.72</v>
      </c>
      <c r="H470" s="53">
        <f>SUM(H468:H469)</f>
        <v>15512</v>
      </c>
      <c r="I470" s="53">
        <f>SUM(I468:I469)</f>
        <v>0</v>
      </c>
      <c r="J470" s="53">
        <f>SUM(J468:J469)</f>
        <v>32562.05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5297606.1900000004</v>
      </c>
      <c r="G472" s="18">
        <v>103508.72</v>
      </c>
      <c r="H472" s="18">
        <v>14651.5</v>
      </c>
      <c r="I472" s="18"/>
      <c r="J472" s="18">
        <v>20000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5297606.1900000004</v>
      </c>
      <c r="G474" s="53">
        <f>SUM(G472:G473)</f>
        <v>103508.72</v>
      </c>
      <c r="H474" s="53">
        <f>SUM(H472:H473)</f>
        <v>14651.5</v>
      </c>
      <c r="I474" s="53">
        <f>SUM(I472:I473)</f>
        <v>0</v>
      </c>
      <c r="J474" s="53">
        <f>SUM(J472:J473)</f>
        <v>20000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82148.799999999814</v>
      </c>
      <c r="G476" s="53">
        <f>(G465+G470)- G474</f>
        <v>1511.320000000007</v>
      </c>
      <c r="H476" s="53">
        <f>(H465+H470)- H474</f>
        <v>34491.85</v>
      </c>
      <c r="I476" s="53">
        <f>(I465+I470)- I474</f>
        <v>0</v>
      </c>
      <c r="J476" s="53">
        <f>(J465+J470)- J474</f>
        <v>185604.36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4410000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4.7699999999999996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731176.97</v>
      </c>
      <c r="G495" s="18"/>
      <c r="H495" s="18"/>
      <c r="I495" s="18"/>
      <c r="J495" s="18"/>
      <c r="K495" s="53">
        <f>SUM(F495:J495)</f>
        <v>731176.97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f>F495-F498</f>
        <v>161184.70999999996</v>
      </c>
      <c r="G497" s="18"/>
      <c r="H497" s="18"/>
      <c r="I497" s="18"/>
      <c r="J497" s="18"/>
      <c r="K497" s="53">
        <f t="shared" si="35"/>
        <v>161184.70999999996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569992.26</v>
      </c>
      <c r="G498" s="204"/>
      <c r="H498" s="204"/>
      <c r="I498" s="204"/>
      <c r="J498" s="204"/>
      <c r="K498" s="205">
        <f t="shared" si="35"/>
        <v>569992.26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792632.74</v>
      </c>
      <c r="G499" s="18"/>
      <c r="H499" s="18"/>
      <c r="I499" s="18"/>
      <c r="J499" s="18"/>
      <c r="K499" s="53">
        <f t="shared" si="35"/>
        <v>792632.74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1362625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1362625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152132.32</v>
      </c>
      <c r="G501" s="204"/>
      <c r="H501" s="204"/>
      <c r="I501" s="204"/>
      <c r="J501" s="204"/>
      <c r="K501" s="205">
        <f t="shared" si="35"/>
        <v>152132.32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187492.68</v>
      </c>
      <c r="G502" s="18"/>
      <c r="H502" s="18"/>
      <c r="I502" s="18"/>
      <c r="J502" s="18"/>
      <c r="K502" s="53">
        <f t="shared" si="35"/>
        <v>187492.68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339625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339625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608267.68000000005</v>
      </c>
      <c r="G521" s="18">
        <v>175917.66</v>
      </c>
      <c r="H521" s="18">
        <v>150164.32</v>
      </c>
      <c r="I521" s="18">
        <v>6961.31</v>
      </c>
      <c r="J521" s="18">
        <v>100</v>
      </c>
      <c r="K521" s="18"/>
      <c r="L521" s="88">
        <f>SUM(F521:K521)</f>
        <v>941410.9700000002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608267.68000000005</v>
      </c>
      <c r="G524" s="108">
        <f t="shared" ref="G524:L524" si="36">SUM(G521:G523)</f>
        <v>175917.66</v>
      </c>
      <c r="H524" s="108">
        <f t="shared" si="36"/>
        <v>150164.32</v>
      </c>
      <c r="I524" s="108">
        <f t="shared" si="36"/>
        <v>6961.31</v>
      </c>
      <c r="J524" s="108">
        <f t="shared" si="36"/>
        <v>100</v>
      </c>
      <c r="K524" s="108">
        <f t="shared" si="36"/>
        <v>0</v>
      </c>
      <c r="L524" s="89">
        <f t="shared" si="36"/>
        <v>941410.9700000002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178020.9</v>
      </c>
      <c r="G526" s="18">
        <v>64195.92</v>
      </c>
      <c r="H526" s="18">
        <v>6161.79</v>
      </c>
      <c r="I526" s="18"/>
      <c r="J526" s="18"/>
      <c r="K526" s="18"/>
      <c r="L526" s="88">
        <f>SUM(F526:K526)</f>
        <v>248378.61000000002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178020.9</v>
      </c>
      <c r="G529" s="89">
        <f t="shared" ref="G529:L529" si="37">SUM(G526:G528)</f>
        <v>64195.92</v>
      </c>
      <c r="H529" s="89">
        <f t="shared" si="37"/>
        <v>6161.79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248378.61000000002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40566.42</v>
      </c>
      <c r="G531" s="18">
        <v>18981.61</v>
      </c>
      <c r="H531" s="18">
        <v>4211.9399999999996</v>
      </c>
      <c r="I531" s="18">
        <v>671.26</v>
      </c>
      <c r="J531" s="18">
        <v>41.15</v>
      </c>
      <c r="K531" s="18">
        <v>27.85</v>
      </c>
      <c r="L531" s="88">
        <f>SUM(F531:K531)</f>
        <v>64500.23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40566.42</v>
      </c>
      <c r="G534" s="89">
        <f t="shared" ref="G534:L534" si="38">SUM(G531:G533)</f>
        <v>18981.61</v>
      </c>
      <c r="H534" s="89">
        <f t="shared" si="38"/>
        <v>4211.9399999999996</v>
      </c>
      <c r="I534" s="89">
        <f t="shared" si="38"/>
        <v>671.26</v>
      </c>
      <c r="J534" s="89">
        <f t="shared" si="38"/>
        <v>41.15</v>
      </c>
      <c r="K534" s="89">
        <f t="shared" si="38"/>
        <v>27.85</v>
      </c>
      <c r="L534" s="89">
        <f t="shared" si="38"/>
        <v>64500.23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282</v>
      </c>
      <c r="I536" s="18"/>
      <c r="J536" s="18"/>
      <c r="K536" s="18"/>
      <c r="L536" s="88">
        <f>SUM(F536:K536)</f>
        <v>282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282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282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63298.85</v>
      </c>
      <c r="I541" s="18"/>
      <c r="J541" s="18"/>
      <c r="K541" s="18"/>
      <c r="L541" s="88">
        <f>SUM(F541:K541)</f>
        <v>63298.85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63298.85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63298.85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826855.00000000012</v>
      </c>
      <c r="G545" s="89">
        <f t="shared" ref="G545:L545" si="41">G524+G529+G534+G539+G544</f>
        <v>259095.19</v>
      </c>
      <c r="H545" s="89">
        <f t="shared" si="41"/>
        <v>224118.90000000002</v>
      </c>
      <c r="I545" s="89">
        <f t="shared" si="41"/>
        <v>7632.5700000000006</v>
      </c>
      <c r="J545" s="89">
        <f t="shared" si="41"/>
        <v>141.15</v>
      </c>
      <c r="K545" s="89">
        <f t="shared" si="41"/>
        <v>27.85</v>
      </c>
      <c r="L545" s="89">
        <f t="shared" si="41"/>
        <v>1317870.6600000004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941410.9700000002</v>
      </c>
      <c r="G549" s="87">
        <f>L526</f>
        <v>248378.61000000002</v>
      </c>
      <c r="H549" s="87">
        <f>L531</f>
        <v>64500.23</v>
      </c>
      <c r="I549" s="87">
        <f>L536</f>
        <v>282</v>
      </c>
      <c r="J549" s="87">
        <f>L541</f>
        <v>63298.85</v>
      </c>
      <c r="K549" s="87">
        <f>SUM(F549:J549)</f>
        <v>1317870.6600000004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941410.9700000002</v>
      </c>
      <c r="G552" s="89">
        <f t="shared" si="42"/>
        <v>248378.61000000002</v>
      </c>
      <c r="H552" s="89">
        <f t="shared" si="42"/>
        <v>64500.23</v>
      </c>
      <c r="I552" s="89">
        <f t="shared" si="42"/>
        <v>282</v>
      </c>
      <c r="J552" s="89">
        <f t="shared" si="42"/>
        <v>63298.85</v>
      </c>
      <c r="K552" s="89">
        <f t="shared" si="42"/>
        <v>1317870.6600000004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125513.82</v>
      </c>
      <c r="G582" s="18"/>
      <c r="H582" s="18"/>
      <c r="I582" s="87">
        <f t="shared" si="47"/>
        <v>125513.82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147735</v>
      </c>
      <c r="I591" s="18"/>
      <c r="J591" s="18"/>
      <c r="K591" s="104">
        <f t="shared" ref="K591:K597" si="48">SUM(H591:J591)</f>
        <v>147735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63298.85</v>
      </c>
      <c r="I592" s="18"/>
      <c r="J592" s="18"/>
      <c r="K592" s="104">
        <f t="shared" si="48"/>
        <v>63298.85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211033.85</v>
      </c>
      <c r="I598" s="108">
        <f>SUM(I591:I597)</f>
        <v>0</v>
      </c>
      <c r="J598" s="108">
        <f>SUM(J591:J597)</f>
        <v>0</v>
      </c>
      <c r="K598" s="108">
        <f>SUM(K591:K597)</f>
        <v>211033.85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188142.37</v>
      </c>
      <c r="I604" s="18"/>
      <c r="J604" s="18"/>
      <c r="K604" s="104">
        <f>SUM(H604:J604)</f>
        <v>188142.37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188142.37</v>
      </c>
      <c r="I605" s="108">
        <f>SUM(I602:I604)</f>
        <v>0</v>
      </c>
      <c r="J605" s="108">
        <f>SUM(J602:J604)</f>
        <v>0</v>
      </c>
      <c r="K605" s="108">
        <f>SUM(K602:K604)</f>
        <v>188142.37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>
        <v>14554.25</v>
      </c>
      <c r="I611" s="18"/>
      <c r="J611" s="18"/>
      <c r="K611" s="18"/>
      <c r="L611" s="88">
        <f>SUM(F611:K611)</f>
        <v>14554.25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14554.25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14554.25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294130.58999999997</v>
      </c>
      <c r="H617" s="109">
        <f>SUM(F52)</f>
        <v>294130.58999999997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0</v>
      </c>
      <c r="H618" s="109">
        <f>SUM(G52)</f>
        <v>0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0</v>
      </c>
      <c r="H619" s="109">
        <f>SUM(H52)</f>
        <v>0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185604.36</v>
      </c>
      <c r="H621" s="109">
        <f>SUM(J52)</f>
        <v>185604.36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82148.800000000003</v>
      </c>
      <c r="H622" s="109">
        <f>F476</f>
        <v>82148.799999999814</v>
      </c>
      <c r="I622" s="121" t="s">
        <v>101</v>
      </c>
      <c r="J622" s="109">
        <f t="shared" ref="J622:J655" si="50">G622-H622</f>
        <v>1.8917489796876907E-10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1511.32</v>
      </c>
      <c r="H623" s="109">
        <f>G476</f>
        <v>1511.320000000007</v>
      </c>
      <c r="I623" s="121" t="s">
        <v>102</v>
      </c>
      <c r="J623" s="109">
        <f t="shared" si="50"/>
        <v>-7.0485839387401938E-12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34491.85</v>
      </c>
      <c r="H624" s="109">
        <f>H476</f>
        <v>34491.85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185604.36</v>
      </c>
      <c r="H626" s="109">
        <f>J476</f>
        <v>185604.36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5071964.6899999995</v>
      </c>
      <c r="H627" s="104">
        <f>SUM(F468)</f>
        <v>5071964.6900000004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103508.72</v>
      </c>
      <c r="H628" s="104">
        <f>SUM(G468)</f>
        <v>103508.72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15512</v>
      </c>
      <c r="H629" s="104">
        <f>SUM(H468)</f>
        <v>15512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32562.05</v>
      </c>
      <c r="H631" s="104">
        <f>SUM(J468)</f>
        <v>32562.05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5297606.1899999995</v>
      </c>
      <c r="H632" s="104">
        <f>SUM(F472)</f>
        <v>5297606.1900000004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14651.5</v>
      </c>
      <c r="H633" s="104">
        <f>SUM(H472)</f>
        <v>14651.5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41974.86</v>
      </c>
      <c r="H634" s="104">
        <f>I369</f>
        <v>41974.86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103508.72</v>
      </c>
      <c r="H635" s="104">
        <f>SUM(G472)</f>
        <v>103508.72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32562.05</v>
      </c>
      <c r="H637" s="164">
        <f>SUM(J468)</f>
        <v>32562.05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20000</v>
      </c>
      <c r="H638" s="164">
        <f>SUM(J472)</f>
        <v>20000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185604.36</v>
      </c>
      <c r="H640" s="104">
        <f>SUM(G461)</f>
        <v>185604.36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185604.36</v>
      </c>
      <c r="H642" s="104">
        <f>SUM(I461)</f>
        <v>185604.36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2562.0500000000002</v>
      </c>
      <c r="H644" s="104">
        <f>H408</f>
        <v>2562.0500000000002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30000</v>
      </c>
      <c r="H645" s="104">
        <f>G408</f>
        <v>30000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32562.05</v>
      </c>
      <c r="H646" s="104">
        <f>L408</f>
        <v>32562.05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211033.85</v>
      </c>
      <c r="H647" s="104">
        <f>L208+L226+L244</f>
        <v>211033.85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188142.37</v>
      </c>
      <c r="H648" s="104">
        <f>(J257+J338)-(J255+J336)</f>
        <v>188142.37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211033.85</v>
      </c>
      <c r="H649" s="104">
        <f>H598</f>
        <v>211033.85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30000</v>
      </c>
      <c r="H655" s="104">
        <f>K266+K347</f>
        <v>30000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5042278.9099999992</v>
      </c>
      <c r="G660" s="19">
        <f>(L229+L309+L359)</f>
        <v>0</v>
      </c>
      <c r="H660" s="19">
        <f>(L247+L328+L360)</f>
        <v>0</v>
      </c>
      <c r="I660" s="19">
        <f>SUM(F660:H660)</f>
        <v>5042278.9099999992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75486.509999999995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75486.509999999995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211033.85</v>
      </c>
      <c r="G662" s="19">
        <f>(L226+L306)-(J226+J306)</f>
        <v>0</v>
      </c>
      <c r="H662" s="19">
        <f>(L244+L325)-(J244+J325)</f>
        <v>0</v>
      </c>
      <c r="I662" s="19">
        <f>SUM(F662:H662)</f>
        <v>211033.85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328210.44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328210.44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4427548.1099999994</v>
      </c>
      <c r="G664" s="19">
        <f>G660-SUM(G661:G663)</f>
        <v>0</v>
      </c>
      <c r="H664" s="19">
        <f>H660-SUM(H661:H663)</f>
        <v>0</v>
      </c>
      <c r="I664" s="19">
        <f>I660-SUM(I661:I663)</f>
        <v>4427548.1099999994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306.14</v>
      </c>
      <c r="G665" s="248"/>
      <c r="H665" s="248"/>
      <c r="I665" s="19">
        <f>SUM(F665:H665)</f>
        <v>306.14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14462.49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14462.49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14462.49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14462.49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BRENTWOOD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1559876.54</v>
      </c>
      <c r="C9" s="229">
        <f>'DOE25'!G197+'DOE25'!G215+'DOE25'!G233+'DOE25'!G276+'DOE25'!G295+'DOE25'!G314</f>
        <v>566921.59</v>
      </c>
    </row>
    <row r="10" spans="1:3" x14ac:dyDescent="0.2">
      <c r="A10" t="s">
        <v>773</v>
      </c>
      <c r="B10" s="240">
        <v>1434445.65</v>
      </c>
      <c r="C10" s="240">
        <v>521334.98</v>
      </c>
    </row>
    <row r="11" spans="1:3" x14ac:dyDescent="0.2">
      <c r="A11" t="s">
        <v>774</v>
      </c>
      <c r="B11" s="240">
        <v>89371.38</v>
      </c>
      <c r="C11" s="240">
        <v>32481.14</v>
      </c>
    </row>
    <row r="12" spans="1:3" x14ac:dyDescent="0.2">
      <c r="A12" t="s">
        <v>775</v>
      </c>
      <c r="B12" s="240">
        <v>36059.51</v>
      </c>
      <c r="C12" s="240">
        <v>13105.47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1559876.5399999998</v>
      </c>
      <c r="C13" s="231">
        <f>SUM(C10:C12)</f>
        <v>566921.59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608267.68000000005</v>
      </c>
      <c r="C18" s="229">
        <f>'DOE25'!G198+'DOE25'!G216+'DOE25'!G234+'DOE25'!G277+'DOE25'!G296+'DOE25'!G315</f>
        <v>175917.66</v>
      </c>
    </row>
    <row r="19" spans="1:3" x14ac:dyDescent="0.2">
      <c r="A19" t="s">
        <v>773</v>
      </c>
      <c r="B19" s="240">
        <v>236540.23</v>
      </c>
      <c r="C19" s="240">
        <v>68410.02</v>
      </c>
    </row>
    <row r="20" spans="1:3" x14ac:dyDescent="0.2">
      <c r="A20" t="s">
        <v>774</v>
      </c>
      <c r="B20" s="240">
        <v>371727.45</v>
      </c>
      <c r="C20" s="240">
        <v>107507.64</v>
      </c>
    </row>
    <row r="21" spans="1:3" x14ac:dyDescent="0.2">
      <c r="A21" t="s">
        <v>775</v>
      </c>
      <c r="B21" s="240">
        <v>0</v>
      </c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608267.68000000005</v>
      </c>
      <c r="C22" s="231">
        <f>SUM(C19:C21)</f>
        <v>175917.66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5620</v>
      </c>
      <c r="C36" s="235">
        <f>'DOE25'!G200+'DOE25'!G218+'DOE25'!G236+'DOE25'!G279+'DOE25'!G298+'DOE25'!G317</f>
        <v>1250.05</v>
      </c>
    </row>
    <row r="37" spans="1:3" x14ac:dyDescent="0.2">
      <c r="A37" t="s">
        <v>773</v>
      </c>
      <c r="B37" s="240">
        <v>5620</v>
      </c>
      <c r="C37" s="240">
        <v>1250.05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5620</v>
      </c>
      <c r="C40" s="231">
        <f>SUM(C37:C39)</f>
        <v>1250.05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BRENTWOOD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3151137.53</v>
      </c>
      <c r="D5" s="20">
        <f>SUM('DOE25'!L197:L200)+SUM('DOE25'!L215:L218)+SUM('DOE25'!L233:L236)-F5-G5</f>
        <v>3151037.53</v>
      </c>
      <c r="E5" s="243"/>
      <c r="F5" s="255">
        <f>SUM('DOE25'!J197:J200)+SUM('DOE25'!J215:J218)+SUM('DOE25'!J233:J236)</f>
        <v>100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412994.75</v>
      </c>
      <c r="D6" s="20">
        <f>'DOE25'!L202+'DOE25'!L220+'DOE25'!L238-F6-G6</f>
        <v>412994.75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280082.38</v>
      </c>
      <c r="D7" s="20">
        <f>'DOE25'!L203+'DOE25'!L221+'DOE25'!L239-F7-G7</f>
        <v>191469.40000000002</v>
      </c>
      <c r="E7" s="243"/>
      <c r="F7" s="255">
        <f>'DOE25'!J203+'DOE25'!J221+'DOE25'!J239</f>
        <v>88612.98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92571.5</v>
      </c>
      <c r="D8" s="243"/>
      <c r="E8" s="20">
        <f>'DOE25'!L204+'DOE25'!L222+'DOE25'!L240-F8-G8-D9-D11</f>
        <v>92571.5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812</v>
      </c>
      <c r="C9" s="245">
        <f t="shared" si="0"/>
        <v>9629.41</v>
      </c>
      <c r="D9" s="244">
        <v>9629.41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7217.25</v>
      </c>
      <c r="D10" s="243"/>
      <c r="E10" s="244">
        <v>7217.25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9314.42</v>
      </c>
      <c r="D11" s="244">
        <v>9314.42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312652.57999999996</v>
      </c>
      <c r="D12" s="20">
        <f>'DOE25'!L205+'DOE25'!L223+'DOE25'!L241-F12-G12</f>
        <v>312318.11</v>
      </c>
      <c r="E12" s="243"/>
      <c r="F12" s="255">
        <f>'DOE25'!J205+'DOE25'!J223+'DOE25'!J241</f>
        <v>199.48</v>
      </c>
      <c r="G12" s="53">
        <f>'DOE25'!K205+'DOE25'!K223+'DOE25'!K241</f>
        <v>134.99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444702.27</v>
      </c>
      <c r="D14" s="20">
        <f>'DOE25'!L207+'DOE25'!L225+'DOE25'!L243-F14-G14</f>
        <v>345472.36</v>
      </c>
      <c r="E14" s="243"/>
      <c r="F14" s="255">
        <f>'DOE25'!J207+'DOE25'!J225+'DOE25'!J243</f>
        <v>99229.91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211033.85</v>
      </c>
      <c r="D15" s="20">
        <f>'DOE25'!L208+'DOE25'!L226+'DOE25'!L244-F15-G15</f>
        <v>211033.85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343487.5</v>
      </c>
      <c r="D25" s="243"/>
      <c r="E25" s="243"/>
      <c r="F25" s="258"/>
      <c r="G25" s="256"/>
      <c r="H25" s="257">
        <f>'DOE25'!L260+'DOE25'!L261+'DOE25'!L341+'DOE25'!L342</f>
        <v>343487.5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61533.86</v>
      </c>
      <c r="D29" s="20">
        <f>'DOE25'!L358+'DOE25'!L359+'DOE25'!L360-'DOE25'!I367-F29-G29</f>
        <v>61533.86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14651.5</v>
      </c>
      <c r="D31" s="20">
        <f>'DOE25'!L290+'DOE25'!L309+'DOE25'!L328+'DOE25'!L333+'DOE25'!L334+'DOE25'!L335-F31-G31</f>
        <v>14651.5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4719455.1899999995</v>
      </c>
      <c r="E33" s="246">
        <f>SUM(E5:E31)</f>
        <v>99788.75</v>
      </c>
      <c r="F33" s="246">
        <f>SUM(F5:F31)</f>
        <v>188142.37</v>
      </c>
      <c r="G33" s="246">
        <f>SUM(G5:G31)</f>
        <v>134.99</v>
      </c>
      <c r="H33" s="246">
        <f>SUM(H5:H31)</f>
        <v>343487.5</v>
      </c>
    </row>
    <row r="35" spans="2:8" ht="12" thickBot="1" x14ac:dyDescent="0.25">
      <c r="B35" s="253" t="s">
        <v>841</v>
      </c>
      <c r="D35" s="254">
        <f>E33</f>
        <v>99788.75</v>
      </c>
      <c r="E35" s="249"/>
    </row>
    <row r="36" spans="2:8" ht="12" thickTop="1" x14ac:dyDescent="0.2">
      <c r="B36" t="s">
        <v>809</v>
      </c>
      <c r="D36" s="20">
        <f>D33</f>
        <v>4719455.1899999995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BRENTWOOD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29514.03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247050.06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185604.36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16032.25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1534.25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294130.58999999997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185604.36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36003.17</v>
      </c>
      <c r="D21" s="95">
        <f>'DOE25'!G22</f>
        <v>-1511.32</v>
      </c>
      <c r="E21" s="95">
        <f>'DOE25'!H22</f>
        <v>-34491.85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21805.79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154172.82999999999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211981.78999999998</v>
      </c>
      <c r="D31" s="41">
        <f>SUM(D21:D30)</f>
        <v>-1511.32</v>
      </c>
      <c r="E31" s="41">
        <f>SUM(E21:E30)</f>
        <v>-34491.85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30000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1511.32</v>
      </c>
      <c r="E47" s="95">
        <f>'DOE25'!H48</f>
        <v>34491.85</v>
      </c>
      <c r="F47" s="95">
        <f>'DOE25'!I48</f>
        <v>0</v>
      </c>
      <c r="G47" s="95">
        <f>'DOE25'!J48</f>
        <v>185604.36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52148.800000000003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82148.800000000003</v>
      </c>
      <c r="D50" s="41">
        <f>SUM(D34:D49)</f>
        <v>1511.32</v>
      </c>
      <c r="E50" s="41">
        <f>SUM(E34:E49)</f>
        <v>34491.85</v>
      </c>
      <c r="F50" s="41">
        <f>SUM(F34:F49)</f>
        <v>0</v>
      </c>
      <c r="G50" s="41">
        <f>SUM(G34:G49)</f>
        <v>185604.36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294130.58999999997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185604.36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3725299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5770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797.78</v>
      </c>
      <c r="D59" s="95">
        <f>'DOE25'!G96</f>
        <v>8.5</v>
      </c>
      <c r="E59" s="95">
        <f>'DOE25'!H96</f>
        <v>0</v>
      </c>
      <c r="F59" s="95">
        <f>'DOE25'!I96</f>
        <v>0</v>
      </c>
      <c r="G59" s="95">
        <f>'DOE25'!J96</f>
        <v>2562.0500000000002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75486.509999999995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1698.3600000000001</v>
      </c>
      <c r="D61" s="95">
        <f>SUM('DOE25'!G98:G110)</f>
        <v>0</v>
      </c>
      <c r="E61" s="95">
        <f>SUM('DOE25'!H98:H110)</f>
        <v>15512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8266.14</v>
      </c>
      <c r="D62" s="130">
        <f>SUM(D57:D61)</f>
        <v>75495.009999999995</v>
      </c>
      <c r="E62" s="130">
        <f>SUM(E57:E61)</f>
        <v>15512</v>
      </c>
      <c r="F62" s="130">
        <f>SUM(F57:F61)</f>
        <v>0</v>
      </c>
      <c r="G62" s="130">
        <f>SUM(G57:G61)</f>
        <v>2562.0500000000002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3733565.14</v>
      </c>
      <c r="D63" s="22">
        <f>D56+D62</f>
        <v>75495.009999999995</v>
      </c>
      <c r="E63" s="22">
        <f>E56+E62</f>
        <v>15512</v>
      </c>
      <c r="F63" s="22">
        <f>F56+F62</f>
        <v>0</v>
      </c>
      <c r="G63" s="22">
        <f>G56+G62</f>
        <v>2562.0500000000002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736506.96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467570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6236.09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1210313.05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71888.960000000006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14073.36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1736.66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85962.32</v>
      </c>
      <c r="D78" s="130">
        <f>SUM(D72:D77)</f>
        <v>1736.66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1296275.3700000001</v>
      </c>
      <c r="D81" s="130">
        <f>SUM(D79:D80)+D78+D70</f>
        <v>1736.66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42124.18</v>
      </c>
      <c r="D88" s="95">
        <f>SUM('DOE25'!G153:G161)</f>
        <v>26277.05</v>
      </c>
      <c r="E88" s="95">
        <f>SUM('DOE25'!H153:H161)</f>
        <v>0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42124.18</v>
      </c>
      <c r="D91" s="131">
        <f>SUM(D85:D90)</f>
        <v>26277.05</v>
      </c>
      <c r="E91" s="131">
        <f>SUM(E85:E90)</f>
        <v>0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30000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30000</v>
      </c>
    </row>
    <row r="104" spans="1:7" ht="12.75" thickTop="1" thickBot="1" x14ac:dyDescent="0.25">
      <c r="A104" s="33" t="s">
        <v>759</v>
      </c>
      <c r="C104" s="86">
        <f>C63+C81+C91+C103</f>
        <v>5071964.6899999995</v>
      </c>
      <c r="D104" s="86">
        <f>D63+D81+D91+D103</f>
        <v>103508.72</v>
      </c>
      <c r="E104" s="86">
        <f>E63+E81+E91+E103</f>
        <v>15512</v>
      </c>
      <c r="F104" s="86">
        <f>F63+F81+F91+F103</f>
        <v>0</v>
      </c>
      <c r="G104" s="86">
        <f>G63+G81+G103</f>
        <v>32562.05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2202856.5099999998</v>
      </c>
      <c r="D109" s="24" t="s">
        <v>286</v>
      </c>
      <c r="E109" s="95">
        <f>('DOE25'!L276)+('DOE25'!L295)+('DOE25'!L314)</f>
        <v>14651.5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941410.9700000002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6870.05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3151137.53</v>
      </c>
      <c r="D115" s="86">
        <f>SUM(D109:D114)</f>
        <v>0</v>
      </c>
      <c r="E115" s="86">
        <f>SUM(E109:E114)</f>
        <v>14651.5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412994.75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280082.38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111515.33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312652.57999999996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444702.27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211033.85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103508.72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1772981.1600000001</v>
      </c>
      <c r="D128" s="86">
        <f>SUM(D118:D127)</f>
        <v>103508.72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161184.71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182302.79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32562.05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-2562.0499999999993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373487.5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5297606.1899999995</v>
      </c>
      <c r="D145" s="86">
        <f>(D115+D128+D144)</f>
        <v>103508.72</v>
      </c>
      <c r="E145" s="86">
        <f>(E115+E128+E144)</f>
        <v>14651.5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08/01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08/21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4410000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4.7699999999999996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731176.97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731176.97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161184.70999999996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161184.70999999996</v>
      </c>
    </row>
    <row r="159" spans="1:9" x14ac:dyDescent="0.2">
      <c r="A159" s="22" t="s">
        <v>35</v>
      </c>
      <c r="B159" s="137">
        <f>'DOE25'!F498</f>
        <v>569992.26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569992.26</v>
      </c>
    </row>
    <row r="160" spans="1:9" x14ac:dyDescent="0.2">
      <c r="A160" s="22" t="s">
        <v>36</v>
      </c>
      <c r="B160" s="137">
        <f>'DOE25'!F499</f>
        <v>792632.74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792632.74</v>
      </c>
    </row>
    <row r="161" spans="1:7" x14ac:dyDescent="0.2">
      <c r="A161" s="22" t="s">
        <v>37</v>
      </c>
      <c r="B161" s="137">
        <f>'DOE25'!F500</f>
        <v>1362625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1362625</v>
      </c>
    </row>
    <row r="162" spans="1:7" x14ac:dyDescent="0.2">
      <c r="A162" s="22" t="s">
        <v>38</v>
      </c>
      <c r="B162" s="137">
        <f>'DOE25'!F501</f>
        <v>152132.32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152132.32</v>
      </c>
    </row>
    <row r="163" spans="1:7" x14ac:dyDescent="0.2">
      <c r="A163" s="22" t="s">
        <v>39</v>
      </c>
      <c r="B163" s="137">
        <f>'DOE25'!F502</f>
        <v>187492.68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187492.68</v>
      </c>
    </row>
    <row r="164" spans="1:7" x14ac:dyDescent="0.2">
      <c r="A164" s="22" t="s">
        <v>246</v>
      </c>
      <c r="B164" s="137">
        <f>'DOE25'!F503</f>
        <v>339625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339625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BRENTWOOD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14462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14462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2217508</v>
      </c>
      <c r="D10" s="182">
        <f>ROUND((C10/$C$28)*100,1)</f>
        <v>43.1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941411</v>
      </c>
      <c r="D11" s="182">
        <f>ROUND((C11/$C$28)*100,1)</f>
        <v>18.3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6870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412995</v>
      </c>
      <c r="D15" s="182">
        <f t="shared" ref="D15:D27" si="0">ROUND((C15/$C$28)*100,1)</f>
        <v>8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280082</v>
      </c>
      <c r="D16" s="182">
        <f t="shared" si="0"/>
        <v>5.4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111515</v>
      </c>
      <c r="D17" s="182">
        <f t="shared" si="0"/>
        <v>2.2000000000000002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312653</v>
      </c>
      <c r="D18" s="182">
        <f t="shared" si="0"/>
        <v>6.1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444702</v>
      </c>
      <c r="D20" s="182">
        <f t="shared" si="0"/>
        <v>8.6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211034</v>
      </c>
      <c r="D21" s="182">
        <f t="shared" si="0"/>
        <v>4.0999999999999996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182303</v>
      </c>
      <c r="D25" s="182">
        <f t="shared" si="0"/>
        <v>3.5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28022.490000000005</v>
      </c>
      <c r="D27" s="182">
        <f t="shared" si="0"/>
        <v>0.5</v>
      </c>
    </row>
    <row r="28" spans="1:4" x14ac:dyDescent="0.2">
      <c r="B28" s="187" t="s">
        <v>717</v>
      </c>
      <c r="C28" s="180">
        <f>SUM(C10:C27)</f>
        <v>5149095.49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5149095.49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161185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3725299</v>
      </c>
      <c r="D35" s="182">
        <f t="shared" ref="D35:D40" si="1">ROUND((C35/$C$41)*100,1)</f>
        <v>72.8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26348.689999999944</v>
      </c>
      <c r="D36" s="182">
        <f t="shared" si="1"/>
        <v>0.5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1204077</v>
      </c>
      <c r="D37" s="182">
        <f t="shared" si="1"/>
        <v>23.5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93935</v>
      </c>
      <c r="D38" s="182">
        <f t="shared" si="1"/>
        <v>1.8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68401</v>
      </c>
      <c r="D39" s="182">
        <f t="shared" si="1"/>
        <v>1.3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5118060.6899999995</v>
      </c>
      <c r="D41" s="184">
        <f>SUM(D35:D40)</f>
        <v>99.899999999999991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BRENTWOOD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2018-06-15T13:33:46Z</cp:lastPrinted>
  <dcterms:created xsi:type="dcterms:W3CDTF">1997-12-04T19:04:30Z</dcterms:created>
  <dcterms:modified xsi:type="dcterms:W3CDTF">2018-11-13T19:26:48Z</dcterms:modified>
</cp:coreProperties>
</file>