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'Salaries-Benefits'!$A$2:$C$54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F57" i="1" l="1"/>
  <c r="C21" i="12" l="1"/>
  <c r="B21" i="12"/>
  <c r="B12" i="12"/>
  <c r="H24" i="1" l="1"/>
  <c r="H13" i="1"/>
  <c r="I276" i="1" l="1"/>
  <c r="F276" i="1"/>
  <c r="H23" i="1"/>
  <c r="F611" i="1" l="1"/>
  <c r="H591" i="1" l="1"/>
  <c r="H207" i="1"/>
  <c r="G203" i="1"/>
  <c r="I207" i="1"/>
  <c r="H198" i="1"/>
  <c r="H541" i="1" l="1"/>
  <c r="G526" i="1"/>
  <c r="K266" i="1" l="1"/>
  <c r="H604" i="1" l="1"/>
  <c r="J198" i="1" l="1"/>
  <c r="I198" i="1"/>
  <c r="F198" i="1"/>
  <c r="F197" i="1"/>
  <c r="J197" i="1"/>
  <c r="I197" i="1"/>
  <c r="H197" i="1"/>
  <c r="F96" i="1"/>
  <c r="F6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5" i="10"/>
  <c r="C16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F461" i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257" i="1"/>
  <c r="G271" i="1" s="1"/>
  <c r="G164" i="2"/>
  <c r="C26" i="10"/>
  <c r="L328" i="1"/>
  <c r="H660" i="1" s="1"/>
  <c r="H664" i="1" s="1"/>
  <c r="L351" i="1"/>
  <c r="I662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G552" i="1"/>
  <c r="J644" i="1"/>
  <c r="J643" i="1"/>
  <c r="I476" i="1"/>
  <c r="H625" i="1" s="1"/>
  <c r="J625" i="1" s="1"/>
  <c r="G476" i="1"/>
  <c r="H623" i="1" s="1"/>
  <c r="G338" i="1"/>
  <c r="G352" i="1" s="1"/>
  <c r="F169" i="1"/>
  <c r="J140" i="1"/>
  <c r="F571" i="1"/>
  <c r="H257" i="1"/>
  <c r="H271" i="1" s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H571" i="1"/>
  <c r="L560" i="1"/>
  <c r="J545" i="1"/>
  <c r="F338" i="1"/>
  <c r="F352" i="1" s="1"/>
  <c r="G192" i="1"/>
  <c r="H192" i="1"/>
  <c r="E128" i="2"/>
  <c r="L309" i="1"/>
  <c r="D5" i="13"/>
  <c r="C5" i="13" s="1"/>
  <c r="E16" i="13"/>
  <c r="J655" i="1"/>
  <c r="L570" i="1"/>
  <c r="I571" i="1"/>
  <c r="I545" i="1"/>
  <c r="J636" i="1"/>
  <c r="G36" i="2"/>
  <c r="L565" i="1"/>
  <c r="H545" i="1"/>
  <c r="K551" i="1"/>
  <c r="C22" i="13"/>
  <c r="C138" i="2"/>
  <c r="C16" i="13"/>
  <c r="A13" i="12" l="1"/>
  <c r="G461" i="1"/>
  <c r="H640" i="1" s="1"/>
  <c r="H476" i="1"/>
  <c r="H624" i="1" s="1"/>
  <c r="E81" i="2"/>
  <c r="J623" i="1"/>
  <c r="L290" i="1"/>
  <c r="L338" i="1" s="1"/>
  <c r="L352" i="1" s="1"/>
  <c r="G633" i="1" s="1"/>
  <c r="J633" i="1" s="1"/>
  <c r="I460" i="1"/>
  <c r="I461" i="1" s="1"/>
  <c r="H642" i="1" s="1"/>
  <c r="J642" i="1" s="1"/>
  <c r="J624" i="1"/>
  <c r="H52" i="1"/>
  <c r="H619" i="1" s="1"/>
  <c r="J619" i="1" s="1"/>
  <c r="C35" i="10"/>
  <c r="C18" i="2"/>
  <c r="J617" i="1"/>
  <c r="J622" i="1"/>
  <c r="G545" i="1"/>
  <c r="K549" i="1"/>
  <c r="K552" i="1" s="1"/>
  <c r="F552" i="1"/>
  <c r="L524" i="1"/>
  <c r="L545" i="1" s="1"/>
  <c r="J645" i="1"/>
  <c r="J649" i="1"/>
  <c r="J634" i="1"/>
  <c r="H33" i="13"/>
  <c r="G661" i="1"/>
  <c r="I661" i="1" s="1"/>
  <c r="C20" i="10"/>
  <c r="C10" i="10"/>
  <c r="C128" i="2"/>
  <c r="E33" i="13"/>
  <c r="D35" i="13" s="1"/>
  <c r="L211" i="1"/>
  <c r="C81" i="2"/>
  <c r="C62" i="2"/>
  <c r="C63" i="2" s="1"/>
  <c r="J640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H648" i="1"/>
  <c r="J648" i="1" s="1"/>
  <c r="J652" i="1"/>
  <c r="G571" i="1"/>
  <c r="I434" i="1"/>
  <c r="G434" i="1"/>
  <c r="I663" i="1"/>
  <c r="C27" i="10"/>
  <c r="G635" i="1"/>
  <c r="J635" i="1" s="1"/>
  <c r="C28" i="10" l="1"/>
  <c r="F660" i="1"/>
  <c r="F664" i="1" s="1"/>
  <c r="G104" i="2"/>
  <c r="C104" i="2"/>
  <c r="G51" i="2"/>
  <c r="C145" i="2"/>
  <c r="I660" i="1"/>
  <c r="L257" i="1"/>
  <c r="L271" i="1" s="1"/>
  <c r="G632" i="1" s="1"/>
  <c r="J632" i="1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F667" i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<sst xmlns="http://schemas.openxmlformats.org/spreadsheetml/2006/main" count="3964" uniqueCount="918">
  <si>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</si>
  <si>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</si>
  <si>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</si>
  <si>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</si>
  <si>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</si>
  <si>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</si>
  <si>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</si>
  <si>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</si>
  <si>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</si>
  <si>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</si>
  <si>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</si>
  <si>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</si>
  <si>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</si>
  <si>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</si>
  <si>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</si>
  <si>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</si>
  <si>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</si>
  <si>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</si>
  <si>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</si>
  <si>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</si>
  <si>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</si>
  <si>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</si>
  <si>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</si>
  <si>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</si>
  <si>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</si>
  <si>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</si>
  <si>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</si>
  <si>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</si>
  <si>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</si>
  <si>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</si>
  <si>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</si>
  <si>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</si>
  <si>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</si>
  <si>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</si>
  <si>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</si>
  <si>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</si>
  <si>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</si>
  <si>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</si>
  <si>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</si>
  <si>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</si>
  <si>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</si>
  <si>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</si>
  <si>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</si>
  <si>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</si>
  <si>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</si>
  <si>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</si>
  <si>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</si>
  <si>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</si>
  <si>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</si>
  <si>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</si>
  <si>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</si>
  <si>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</si>
  <si>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</si>
  <si>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</si>
  <si>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</si>
  <si>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</si>
  <si>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</si>
  <si>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</si>
  <si>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</si>
  <si>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</si>
  <si>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</si>
  <si>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</si>
  <si>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</si>
  <si>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</si>
  <si>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</si>
  <si>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</si>
  <si>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</si>
  <si>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</si>
  <si>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</si>
  <si>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</si>
  <si>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</si>
  <si>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</si>
  <si>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</si>
  <si>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</si>
  <si>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</si>
  <si>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</si>
  <si>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</si>
  <si>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</si>
  <si>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</si>
  <si>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</si>
  <si>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</si>
  <si>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</si>
  <si>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</si>
  <si>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</si>
  <si>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</si>
  <si>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</si>
  <si>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</si>
  <si>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</si>
  <si>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</si>
  <si>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</si>
  <si>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</si>
  <si>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</si>
  <si>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</si>
  <si>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</si>
  <si>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</si>
  <si>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</si>
  <si>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</si>
  <si>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</si>
  <si>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</si>
  <si>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</si>
  <si>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</si>
  <si>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</si>
  <si>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</si>
  <si>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</si>
  <si>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</si>
  <si>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</si>
  <si>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</si>
  <si>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</si>
  <si>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</si>
  <si>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</si>
  <si>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</si>
  <si>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</si>
  <si>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</si>
  <si>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</si>
  <si>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</si>
  <si>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</si>
  <si>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</si>
  <si>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</si>
  <si>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</si>
  <si>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</si>
  <si>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</si>
  <si>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</si>
  <si>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</si>
  <si>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</si>
  <si>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</si>
  <si>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</si>
  <si>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</si>
  <si>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</si>
  <si>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</si>
  <si>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</si>
  <si>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</si>
  <si>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</si>
  <si>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</si>
  <si>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</si>
  <si>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</si>
  <si>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</si>
  <si>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</si>
  <si>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</si>
  <si>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</si>
  <si>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</si>
  <si>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</si>
  <si>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</si>
  <si>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</si>
  <si>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</si>
  <si>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</si>
  <si>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</si>
  <si>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</si>
  <si>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</si>
  <si>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</si>
  <si>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</si>
  <si>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</si>
  <si>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</si>
  <si>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</si>
  <si>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</si>
  <si>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</si>
  <si>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</si>
  <si>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</si>
  <si>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</si>
  <si>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</si>
  <si>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</si>
  <si>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</si>
  <si>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</si>
  <si>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</si>
  <si>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</si>
  <si>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</si>
  <si>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</si>
  <si>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</si>
  <si>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</si>
  <si>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</si>
  <si>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</si>
  <si>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</si>
  <si>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</si>
  <si>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</si>
  <si>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</si>
  <si>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</si>
  <si>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</si>
  <si>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</si>
  <si>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</si>
  <si>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</si>
  <si>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</si>
  <si>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</si>
  <si>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</si>
  <si>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</si>
  <si>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</si>
  <si>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</si>
  <si>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</si>
  <si>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</si>
  <si>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</si>
  <si>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</si>
  <si>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</si>
  <si>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</si>
  <si>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</si>
  <si>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</si>
  <si>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</si>
  <si>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</si>
  <si>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</si>
  <si>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</si>
  <si>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</si>
  <si>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</si>
  <si>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</si>
  <si>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</si>
  <si>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</si>
  <si>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</si>
  <si>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</si>
  <si>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</si>
  <si>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</si>
  <si>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</si>
  <si>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</si>
  <si>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</si>
  <si>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</si>
  <si>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</si>
  <si>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</si>
  <si>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</si>
  <si>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</si>
  <si>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</si>
  <si>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</si>
  <si>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</si>
  <si>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</si>
  <si>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</si>
  <si>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</si>
  <si>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</si>
  <si>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</si>
  <si>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</si>
  <si>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</si>
  <si>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</si>
  <si>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</si>
  <si>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</si>
  <si>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</si>
  <si>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</si>
  <si>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</si>
  <si>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</si>
  <si>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</si>
  <si>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</si>
  <si>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</si>
  <si>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</si>
  <si>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</si>
  <si>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</si>
  <si>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</si>
  <si>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</si>
  <si>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</si>
  <si>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</si>
  <si>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</si>
  <si>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</si>
  <si>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</si>
  <si>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</si>
  <si>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</si>
  <si>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</si>
  <si>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</si>
  <si>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</si>
  <si>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</si>
  <si>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</si>
  <si>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</si>
  <si>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</si>
  <si>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</si>
  <si>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</si>
  <si>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</si>
  <si>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</si>
  <si>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</si>
  <si>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</si>
  <si>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</si>
  <si>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</si>
  <si>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</si>
  <si>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</si>
  <si>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</si>
  <si>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</si>
  <si>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</si>
  <si>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</si>
  <si>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</si>
  <si>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</si>
  <si>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</si>
  <si>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</si>
  <si>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</si>
  <si>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</si>
  <si>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</si>
  <si>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</si>
  <si>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</si>
  <si>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</si>
  <si>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</si>
  <si>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</si>
  <si>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</si>
  <si>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</si>
  <si>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</si>
  <si>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</si>
  <si>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</si>
  <si>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</si>
  <si>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</si>
  <si>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</si>
  <si>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</si>
  <si>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</si>
  <si>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</si>
  <si>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</si>
  <si>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</si>
  <si>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</si>
  <si>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</si>
  <si>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</si>
  <si>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</si>
  <si>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</si>
  <si>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</si>
  <si>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</si>
  <si>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</si>
  <si>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</si>
  <si>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</si>
  <si>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</si>
  <si>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</si>
  <si>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</si>
  <si>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</si>
  <si>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</si>
  <si>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</si>
  <si>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</si>
  <si>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</si>
  <si>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</si>
  <si>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</si>
  <si>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</si>
  <si>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</si>
  <si>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</si>
  <si>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</si>
  <si>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</si>
  <si>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</si>
  <si>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</si>
  <si>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</si>
  <si>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</si>
  <si>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</si>
  <si>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</si>
  <si>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</si>
  <si>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</si>
  <si>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</si>
  <si>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</si>
  <si>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</si>
  <si>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</si>
  <si>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</si>
  <si>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</si>
  <si>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</si>
  <si>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</si>
  <si>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</si>
  <si>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</si>
  <si>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</si>
  <si>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</si>
  <si>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</si>
  <si>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</si>
  <si>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</si>
  <si>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</si>
  <si>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</si>
  <si>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</si>
  <si>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</si>
  <si>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</si>
  <si>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</si>
  <si>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</si>
  <si>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</si>
  <si>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</si>
  <si>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</si>
  <si>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</si>
  <si>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</si>
  <si>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</si>
  <si>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</si>
  <si>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</si>
  <si>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</si>
  <si>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</si>
  <si>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</si>
  <si>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</si>
  <si>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</si>
  <si>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</si>
  <si>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</si>
  <si>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</si>
  <si>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</si>
  <si>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</si>
  <si>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</si>
  <si>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</si>
  <si>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</si>
  <si>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</si>
  <si>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</si>
  <si>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</si>
  <si>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</si>
  <si>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</si>
  <si>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</si>
  <si>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</si>
  <si>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</si>
  <si>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</si>
  <si>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</si>
  <si>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</si>
  <si>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</si>
  <si>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</si>
  <si>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</si>
  <si>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</si>
  <si>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</si>
  <si>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</si>
  <si>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</si>
  <si>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</si>
  <si>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</si>
  <si>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</si>
  <si>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</si>
  <si>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</si>
  <si>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</si>
  <si>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</si>
  <si>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</si>
  <si>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</si>
  <si>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</si>
  <si>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</si>
  <si>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</si>
  <si>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</si>
  <si>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</si>
  <si>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</si>
  <si>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</si>
  <si>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</si>
  <si>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</si>
  <si>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</si>
  <si>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</si>
  <si>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</si>
  <si>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</si>
  <si>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</si>
  <si>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</si>
  <si>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</si>
  <si>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</si>
  <si>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</si>
  <si>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</si>
  <si>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</si>
  <si>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</si>
  <si>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</si>
  <si>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</si>
  <si>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</si>
  <si>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</si>
  <si>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</si>
  <si>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</si>
  <si>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</si>
  <si>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</si>
  <si>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</si>
  <si>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</si>
  <si>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</si>
  <si>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</si>
  <si>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</si>
  <si>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</si>
  <si>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</si>
  <si>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</si>
  <si>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</si>
  <si>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</si>
  <si>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</si>
  <si>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</si>
  <si>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</si>
  <si>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</si>
  <si>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</si>
  <si>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</si>
  <si>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</si>
  <si>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</si>
  <si>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</si>
  <si>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</si>
  <si>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</si>
  <si>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</si>
  <si>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</si>
  <si>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</si>
  <si>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</si>
  <si>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</si>
  <si>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</si>
  <si>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</si>
  <si>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</si>
  <si>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</si>
  <si>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</si>
  <si>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</si>
  <si>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</si>
  <si>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</si>
  <si>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</si>
  <si>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</si>
  <si>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</si>
  <si>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</si>
  <si>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</si>
  <si>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</si>
  <si>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</si>
  <si>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</si>
  <si>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</si>
  <si>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</si>
  <si>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</si>
  <si>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</si>
  <si>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</si>
  <si>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</si>
  <si>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</si>
  <si>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</si>
  <si>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</si>
  <si>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</si>
  <si>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</si>
  <si>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</si>
  <si>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</si>
  <si>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</si>
  <si>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</si>
  <si>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</si>
  <si>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</si>
  <si>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</si>
  <si>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</si>
  <si>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</si>
  <si>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</si>
  <si>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</si>
  <si>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</si>
  <si>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</si>
  <si>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</si>
  <si>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</si>
  <si>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</si>
  <si>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</si>
  <si>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</si>
  <si>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</si>
  <si>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</si>
  <si>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</si>
  <si>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</si>
  <si>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</si>
  <si>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</si>
  <si>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</si>
  <si>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</si>
  <si>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</si>
  <si>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</si>
  <si>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</si>
  <si>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</si>
  <si>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</si>
  <si>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</si>
  <si>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</si>
  <si>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</si>
  <si>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</si>
  <si>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</si>
  <si>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</si>
  <si>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</si>
  <si>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</si>
  <si>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</si>
  <si>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</si>
  <si>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</si>
  <si>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</si>
  <si>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</si>
  <si>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</si>
  <si>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</si>
  <si>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</si>
  <si>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</si>
  <si>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</si>
  <si>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</si>
  <si>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</si>
  <si>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</si>
  <si>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</si>
  <si>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</si>
  <si>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</si>
  <si>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</si>
  <si>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</si>
  <si>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</si>
  <si>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</si>
  <si>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</si>
  <si>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</si>
  <si>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</si>
  <si>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</si>
  <si>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</si>
  <si>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</si>
  <si>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</si>
  <si>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</si>
  <si>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</si>
  <si>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</si>
  <si>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</si>
  <si>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</si>
  <si>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</si>
  <si>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</si>
  <si>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</si>
  <si>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</si>
  <si>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</si>
  <si>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</si>
  <si>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</si>
  <si>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</si>
  <si>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</si>
  <si>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</si>
  <si>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</si>
  <si>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</si>
  <si>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</si>
  <si>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</si>
  <si>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</si>
  <si>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</si>
  <si>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</si>
  <si>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</si>
  <si>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</si>
  <si>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</si>
  <si>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</si>
  <si>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</si>
  <si>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</si>
  <si>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</si>
  <si>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</si>
  <si>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</si>
  <si>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</si>
  <si>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</si>
  <si>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</si>
  <si>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</si>
  <si>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</si>
  <si>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</si>
  <si>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</si>
  <si>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</si>
  <si>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</si>
  <si>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</si>
  <si>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</si>
  <si>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</si>
  <si>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</si>
  <si>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</si>
  <si>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</si>
  <si>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</si>
  <si>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</si>
  <si>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</si>
  <si>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</si>
  <si>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</si>
  <si>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</si>
  <si>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</si>
  <si>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</si>
  <si>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</si>
  <si>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</si>
  <si>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</si>
  <si>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</si>
  <si>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</si>
  <si>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</si>
  <si>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</si>
  <si>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</si>
  <si>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</si>
  <si>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</si>
  <si>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</si>
  <si>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</si>
  <si>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</si>
  <si>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</si>
  <si>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</si>
  <si>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</si>
  <si>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</si>
  <si>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</si>
  <si>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</si>
  <si>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</si>
  <si>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</si>
  <si>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</si>
  <si>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</si>
  <si>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</si>
  <si>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</si>
  <si>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</si>
  <si>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</si>
  <si>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</si>
  <si>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</si>
  <si>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</si>
  <si>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</si>
  <si>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</si>
  <si>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</si>
  <si>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</si>
  <si>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</si>
  <si>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</si>
  <si>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</si>
  <si>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</si>
  <si>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</si>
  <si>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</si>
  <si>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</si>
  <si>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</si>
  <si>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</si>
  <si>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</si>
  <si>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</si>
  <si>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</si>
  <si>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</si>
  <si>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</si>
  <si>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</si>
  <si>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</si>
  <si>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</si>
  <si>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</si>
  <si>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</si>
  <si>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</si>
  <si>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</si>
  <si>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</si>
  <si>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</si>
  <si>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</si>
  <si>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</si>
  <si>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</si>
  <si>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</si>
  <si>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</si>
  <si>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</si>
  <si>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</si>
  <si>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</si>
  <si>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</si>
  <si>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</si>
  <si>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</si>
  <si>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</si>
  <si>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</si>
  <si>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</si>
  <si>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</si>
  <si>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</si>
  <si>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</si>
  <si>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</si>
  <si>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</si>
  <si>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</si>
  <si>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</si>
  <si>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</si>
  <si>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</si>
  <si>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</si>
  <si>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</si>
  <si>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</si>
  <si>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</si>
  <si>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</si>
  <si>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</si>
  <si>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</si>
  <si>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</si>
  <si>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</si>
  <si>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</si>
  <si>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</si>
  <si>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</si>
  <si>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</si>
  <si>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</si>
  <si>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</si>
  <si>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</si>
  <si>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</si>
  <si>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</si>
  <si>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</si>
  <si>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</si>
  <si>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</si>
  <si>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</si>
  <si>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</si>
  <si>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</si>
  <si>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</si>
  <si>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</si>
  <si>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</si>
  <si>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</si>
  <si>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</si>
  <si>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</si>
  <si>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</si>
  <si>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</si>
  <si>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</si>
  <si>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</si>
  <si>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</si>
  <si>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</si>
  <si>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</si>
  <si>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</si>
  <si>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</si>
  <si>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</si>
  <si>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</si>
  <si>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</si>
  <si>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</si>
  <si>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</si>
  <si>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</si>
  <si>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</si>
  <si>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</si>
  <si>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</si>
  <si>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</si>
  <si>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</si>
  <si>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</si>
  <si>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</si>
  <si>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</si>
  <si>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</si>
  <si>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</si>
  <si>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</si>
  <si>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</si>
  <si>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</si>
  <si>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</si>
  <si>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</si>
  <si>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</si>
  <si>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</si>
  <si>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</si>
  <si>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</si>
  <si>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</si>
  <si>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</si>
  <si>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</si>
  <si>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</si>
  <si>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</si>
  <si>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</si>
  <si>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</si>
  <si>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</si>
  <si>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</si>
  <si>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</si>
  <si>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</si>
  <si>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</si>
  <si>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</si>
  <si>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</si>
  <si>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</si>
  <si>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</si>
  <si>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</si>
  <si>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</si>
  <si>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</si>
  <si>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</si>
  <si>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</si>
  <si>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</si>
  <si>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</si>
  <si>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</si>
  <si>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</si>
  <si>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</si>
  <si>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</si>
  <si>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</si>
  <si>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</si>
  <si>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</si>
  <si>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</si>
  <si>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</si>
  <si>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</si>
  <si>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</si>
  <si>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</si>
  <si>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</si>
  <si>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</si>
  <si>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</si>
  <si>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</si>
  <si>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</si>
  <si>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</si>
  <si>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</si>
  <si>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</si>
  <si>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</si>
  <si>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</si>
  <si>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</si>
  <si>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</si>
  <si>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</si>
  <si>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</si>
  <si>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</si>
  <si>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</si>
  <si>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</si>
  <si>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</si>
  <si>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</si>
  <si>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</si>
  <si>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</si>
  <si>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</si>
  <si>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</si>
  <si>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</si>
  <si>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</si>
  <si>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</si>
  <si>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</si>
  <si>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</si>
  <si>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</si>
  <si>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</si>
  <si>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</si>
  <si>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</si>
  <si>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</si>
  <si>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</si>
  <si>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</si>
  <si>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</si>
  <si>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</si>
  <si>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</si>
  <si>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</si>
  <si>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</si>
  <si>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</si>
  <si>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</si>
  <si>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</si>
  <si>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</si>
  <si>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</si>
  <si>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</si>
  <si>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</si>
  <si>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</si>
  <si>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</si>
  <si>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</si>
  <si>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</si>
  <si>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</si>
  <si>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</si>
  <si>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</si>
  <si>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</si>
  <si>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</si>
  <si>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</si>
  <si>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</si>
  <si>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</si>
  <si>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</si>
  <si>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</si>
  <si>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</si>
  <si>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</si>
  <si>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</si>
  <si>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</si>
  <si>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</si>
  <si>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</si>
  <si>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</si>
  <si>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</si>
  <si>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</si>
  <si>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</si>
  <si>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</si>
  <si>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</si>
  <si>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</si>
  <si>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</si>
  <si>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</si>
  <si>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</si>
  <si>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</si>
  <si>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</si>
  <si>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</si>
  <si>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</si>
  <si>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</si>
  <si>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</si>
  <si>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</si>
  <si>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</si>
  <si>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</si>
  <si>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</si>
  <si>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</si>
  <si>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</si>
  <si>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</si>
  <si>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</si>
  <si>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</si>
  <si>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</si>
  <si>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</si>
  <si>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</si>
  <si>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</si>
  <si>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</si>
  <si>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</si>
  <si>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</si>
  <si>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</si>
  <si>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</si>
  <si>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</si>
  <si>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</si>
  <si>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</si>
  <si>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</si>
  <si>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</si>
  <si>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</si>
  <si>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</si>
  <si>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</si>
  <si>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</si>
  <si>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</si>
  <si>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</si>
  <si>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</si>
  <si>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</si>
  <si>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</si>
  <si>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</si>
  <si>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</si>
  <si>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</si>
  <si>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</si>
  <si>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</si>
  <si>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</si>
  <si>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</si>
  <si>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</si>
  <si>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</si>
  <si>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</si>
  <si>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</si>
  <si>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</si>
  <si>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</si>
  <si>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</si>
  <si>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</si>
  <si>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</si>
  <si>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</si>
  <si>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</si>
  <si>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</si>
  <si>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</si>
  <si>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</si>
  <si>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&lt;Fund 30</t>
  </si>
  <si>
    <t>8/12</t>
  </si>
  <si>
    <t>8/99</t>
  </si>
  <si>
    <t>8/22</t>
  </si>
  <si>
    <t>8/19</t>
  </si>
  <si>
    <t>Brookline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</si>
</sst>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0" fontId="39" fillId="0" borderId="0"/>
    <xf numFmtId="43" fontId="39" fillId="0" borderId="0" applyFont="0" applyFill="0" applyBorder="0" applyAlignment="0" applyProtection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5" t="s">
        <v>917</v>
      </c>
      <c r="B2" s="21">
        <v>71</v>
      </c>
      <c r="C2" s="21">
        <v>71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278</v>
      </c>
      <c r="G6" s="224" t="s">
        <v>279</v>
      </c>
      <c r="H6" s="224" t="s">
        <v>280</v>
      </c>
      <c r="I6" s="224" t="s">
        <v>281</v>
      </c>
      <c r="J6" s="224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4"/>
      <c r="G7" s="225"/>
      <c r="H7" s="224" t="s">
        <v>766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185065.74</v>
      </c>
      <c r="G9" s="18">
        <v>39241.910000000003</v>
      </c>
      <c r="H9" s="18">
        <v>39163.46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1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395.58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1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1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1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513.66</v>
      </c>
      <c r="G13" s="18">
        <v>5592.29</v>
      </c>
      <c r="H13" s="18">
        <f>117902.82+1250</f>
        <v>119152.82</v>
      </c>
      <c r="I13" s="18"/>
      <c r="J13" s="67">
        <f>SUM(I442)</f>
        <v>195679.06</v>
      </c>
      <c r="K13" s="24" t="s">
        <v>286</v>
      </c>
      <c r="L13" s="24" t="s">
        <v>286</v>
      </c>
      <c r="M13" s="8"/>
      <c r="N13" s="271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43027.24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1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1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7097.55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1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15441.71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1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1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244443.92999999996</v>
      </c>
      <c r="G19" s="41">
        <f>SUM(G9:G18)</f>
        <v>51931.750000000007</v>
      </c>
      <c r="H19" s="41">
        <f>SUM(H9:H18)</f>
        <v>158316.28</v>
      </c>
      <c r="I19" s="41">
        <f>SUM(I9:I18)</f>
        <v>0</v>
      </c>
      <c r="J19" s="41">
        <f>SUM(J9:J18)</f>
        <v>195679.06</v>
      </c>
      <c r="K19" s="45" t="s">
        <v>286</v>
      </c>
      <c r="L19" s="45" t="s">
        <v>286</v>
      </c>
      <c r="M19" s="8"/>
      <c r="N19" s="271"/>
    </row>
    <row r="20" spans="1:14" s="3" customFormat="1" ht="12.2" customHeight="1" x14ac:dyDescent="0.15">
      <c r="A20" s="1" t="s">
        <v>452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1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-124665.82</v>
      </c>
      <c r="G22" s="18"/>
      <c r="H22" s="18"/>
      <c r="I22" s="18"/>
      <c r="J22" s="67">
        <f>SUM(I448)</f>
        <v>55225.21</v>
      </c>
      <c r="K22" s="24" t="s">
        <v>286</v>
      </c>
      <c r="L22" s="24" t="s">
        <v>286</v>
      </c>
      <c r="M22" s="8"/>
      <c r="N22" s="271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427.62</v>
      </c>
      <c r="G23" s="18">
        <v>69.17</v>
      </c>
      <c r="H23" s="18">
        <f>111025.36</f>
        <v>111025.36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1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50949.18</v>
      </c>
      <c r="G24" s="18">
        <v>1451.54</v>
      </c>
      <c r="H24" s="18">
        <f>6877.46+293.62</f>
        <v>7171.08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1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1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1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1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50245.19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1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0.01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1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17091.39</v>
      </c>
      <c r="G30" s="18">
        <v>11655.17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1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1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-5952.4300000000185</v>
      </c>
      <c r="G32" s="41">
        <f>SUM(G22:G31)</f>
        <v>13175.880000000001</v>
      </c>
      <c r="H32" s="41">
        <f>SUM(H22:H31)</f>
        <v>118196.44</v>
      </c>
      <c r="I32" s="41">
        <f>SUM(I22:I31)</f>
        <v>0</v>
      </c>
      <c r="J32" s="41">
        <f>SUM(J22:J31)</f>
        <v>55225.21</v>
      </c>
      <c r="K32" s="45" t="s">
        <v>286</v>
      </c>
      <c r="L32" s="45" t="s">
        <v>286</v>
      </c>
      <c r="M32" s="8"/>
      <c r="N32" s="271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1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1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7098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1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15441.71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1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1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1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1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31657.87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1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1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1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>
        <v>40119.839999999997</v>
      </c>
      <c r="I43" s="18"/>
      <c r="J43" s="13">
        <f>SUM(I456)</f>
        <v>0</v>
      </c>
      <c r="K43" s="24" t="s">
        <v>286</v>
      </c>
      <c r="L43" s="24" t="s">
        <v>286</v>
      </c>
      <c r="M43" s="8"/>
      <c r="N43" s="271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125000</v>
      </c>
      <c r="G44" s="18"/>
      <c r="H44" s="18" t="s">
        <v>284</v>
      </c>
      <c r="I44" s="18"/>
      <c r="J44" s="24" t="s">
        <v>286</v>
      </c>
      <c r="K44" s="24" t="s">
        <v>286</v>
      </c>
      <c r="L44" s="24" t="s">
        <v>286</v>
      </c>
      <c r="M44" s="8"/>
      <c r="N44" s="271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1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1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1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140453.85</v>
      </c>
      <c r="K48" s="24" t="s">
        <v>286</v>
      </c>
      <c r="L48" s="24" t="s">
        <v>286</v>
      </c>
      <c r="M48" s="8"/>
      <c r="N48" s="271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39237.79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70716.86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1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250396.36</v>
      </c>
      <c r="G51" s="41">
        <f>SUM(G35:G50)</f>
        <v>38755.869999999995</v>
      </c>
      <c r="H51" s="41">
        <f>SUM(H35:H50)</f>
        <v>40119.839999999997</v>
      </c>
      <c r="I51" s="41">
        <f>SUM(I35:I50)</f>
        <v>0</v>
      </c>
      <c r="J51" s="41">
        <f>SUM(J35:J50)</f>
        <v>140453.85</v>
      </c>
      <c r="K51" s="45" t="s">
        <v>286</v>
      </c>
      <c r="L51" s="45" t="s">
        <v>286</v>
      </c>
      <c r="N51" s="269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244443.92999999996</v>
      </c>
      <c r="G52" s="41">
        <f>G51+G32</f>
        <v>51931.75</v>
      </c>
      <c r="H52" s="41">
        <f>H51+H32</f>
        <v>158316.28</v>
      </c>
      <c r="I52" s="41">
        <f>I51+I32</f>
        <v>0</v>
      </c>
      <c r="J52" s="41">
        <f>J51+J32</f>
        <v>195679.06</v>
      </c>
      <c r="K52" s="45" t="s">
        <v>286</v>
      </c>
      <c r="L52" s="45" t="s">
        <v>286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1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1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1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8256459-1822440.5-546979-0.26</f>
        <v>5887039.2400000002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1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1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2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5887039.2400000002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2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1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1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62936.91+174235.56</f>
        <v>237172.47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1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1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2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1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1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1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1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1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1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1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1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1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1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1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1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69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237172.47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1"/>
    </row>
    <row r="81" spans="1:14" s="3" customFormat="1" ht="12.2" customHeight="1" x14ac:dyDescent="0.2">
      <c r="A81" s="169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1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1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1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1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1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1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1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1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1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1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1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1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1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1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f>3381.76+2081.96</f>
        <v>5463.72</v>
      </c>
      <c r="G96" s="18">
        <v>2.16</v>
      </c>
      <c r="H96" s="18"/>
      <c r="I96" s="18"/>
      <c r="J96" s="18">
        <v>39.770000000000003</v>
      </c>
      <c r="K96" s="24" t="s">
        <v>286</v>
      </c>
      <c r="L96" s="24" t="s">
        <v>286</v>
      </c>
      <c r="M96" s="8"/>
      <c r="N96" s="271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124571.07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1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22069.5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1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1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1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2105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1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1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19590.57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1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1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1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1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1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1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219.3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1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1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27378.59</v>
      </c>
      <c r="G111" s="41">
        <f>SUM(G96:G110)</f>
        <v>124573.23000000001</v>
      </c>
      <c r="H111" s="41">
        <f>SUM(H96:H110)</f>
        <v>22069.5</v>
      </c>
      <c r="I111" s="41">
        <f>SUM(I96:I110)</f>
        <v>0</v>
      </c>
      <c r="J111" s="41">
        <f>SUM(J96:J110)</f>
        <v>39.770000000000003</v>
      </c>
      <c r="K111" s="45" t="s">
        <v>286</v>
      </c>
      <c r="L111" s="45" t="s">
        <v>286</v>
      </c>
      <c r="N111" s="269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6151590.2999999998</v>
      </c>
      <c r="G112" s="41">
        <f>G60+G111</f>
        <v>124573.23000000001</v>
      </c>
      <c r="H112" s="41">
        <f>H60+H79+H94+H111</f>
        <v>22069.5</v>
      </c>
      <c r="I112" s="41">
        <f>I60+I111</f>
        <v>0</v>
      </c>
      <c r="J112" s="41">
        <f>J60+J111</f>
        <v>39.770000000000003</v>
      </c>
      <c r="K112" s="45" t="s">
        <v>286</v>
      </c>
      <c r="L112" s="45" t="s">
        <v>286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1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1822440.5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1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546979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1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1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2090.31</v>
      </c>
      <c r="G120" s="18"/>
      <c r="H120" s="18">
        <v>6877.46</v>
      </c>
      <c r="I120" s="18"/>
      <c r="J120" s="18"/>
      <c r="K120" s="24" t="s">
        <v>286</v>
      </c>
      <c r="L120" s="24" t="s">
        <v>286</v>
      </c>
      <c r="M120" s="8"/>
      <c r="N120" s="271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2371509.81</v>
      </c>
      <c r="G121" s="41">
        <f>SUM(G117:G120)</f>
        <v>0</v>
      </c>
      <c r="H121" s="41">
        <f>SUM(H117:H120)</f>
        <v>6877.46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1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1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49649.5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1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1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16774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1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1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1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1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1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1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2184.1799999999998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1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1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1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66423.5</v>
      </c>
      <c r="G136" s="41">
        <f>SUM(G123:G135)</f>
        <v>2184.1799999999998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1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1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1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1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2437933.31</v>
      </c>
      <c r="G140" s="41">
        <f>G121+SUM(G136:G137)</f>
        <v>2184.1799999999998</v>
      </c>
      <c r="H140" s="41">
        <f>H121+SUM(H136:H139)</f>
        <v>6877.46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3" t="s">
        <v>766</v>
      </c>
      <c r="I143" s="16" t="s">
        <v>281</v>
      </c>
      <c r="J143" s="16" t="s">
        <v>282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1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1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1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1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1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1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1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1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1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1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274">
        <v>19698.38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1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15783.14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1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1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1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27890.48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1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161980.63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1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19255.45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1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8992.69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1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19255.45</v>
      </c>
      <c r="G162" s="41">
        <f>SUM(G150:G161)</f>
        <v>36883.17</v>
      </c>
      <c r="H162" s="41">
        <f>SUM(H150:H161)</f>
        <v>197462.15000000002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1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1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1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1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1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1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1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19255.45</v>
      </c>
      <c r="G169" s="41">
        <f>G147+G162+SUM(G163:G168)</f>
        <v>36883.17</v>
      </c>
      <c r="H169" s="41">
        <f>H147+H162+SUM(H163:H168)</f>
        <v>197462.15000000002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3" t="s">
        <v>766</v>
      </c>
      <c r="I172" s="16" t="s">
        <v>281</v>
      </c>
      <c r="J172" s="16" t="s">
        <v>282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1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1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1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1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1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1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140000</v>
      </c>
      <c r="K179" s="24" t="s">
        <v>286</v>
      </c>
      <c r="L179" s="24" t="s">
        <v>286</v>
      </c>
      <c r="M179" s="8"/>
      <c r="N179" s="271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1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1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1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140000</v>
      </c>
      <c r="K183" s="45" t="s">
        <v>286</v>
      </c>
      <c r="L183" s="45" t="s">
        <v>286</v>
      </c>
      <c r="M183" s="8"/>
      <c r="N183" s="271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1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1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1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69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9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1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1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1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5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140000</v>
      </c>
      <c r="K192" s="45" t="s">
        <v>286</v>
      </c>
      <c r="L192" s="45" t="s">
        <v>286</v>
      </c>
      <c r="M192" s="8"/>
      <c r="N192" s="271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6" t="s">
        <v>428</v>
      </c>
      <c r="E193" s="44"/>
      <c r="F193" s="47">
        <f>F112+F140+F169+F192</f>
        <v>8608779.0599999987</v>
      </c>
      <c r="G193" s="47">
        <f>G112+G140+G169+G192</f>
        <v>163640.58000000002</v>
      </c>
      <c r="H193" s="47">
        <f>H112+H140+H169+H192</f>
        <v>226409.11000000002</v>
      </c>
      <c r="I193" s="47">
        <f>I112+I140+I169+I192</f>
        <v>0</v>
      </c>
      <c r="J193" s="47">
        <f>J112+J140+J192</f>
        <v>140039.76999999999</v>
      </c>
      <c r="K193" s="45" t="s">
        <v>286</v>
      </c>
      <c r="L193" s="45" t="s">
        <v>286</v>
      </c>
      <c r="M193" s="8"/>
      <c r="N193" s="271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6" t="s">
        <v>687</v>
      </c>
      <c r="G194" s="176" t="s">
        <v>688</v>
      </c>
      <c r="H194" s="176" t="s">
        <v>689</v>
      </c>
      <c r="I194" s="176" t="s">
        <v>690</v>
      </c>
      <c r="J194" s="176" t="s">
        <v>691</v>
      </c>
      <c r="K194" s="176" t="s">
        <v>692</v>
      </c>
      <c r="L194" s="56"/>
      <c r="M194" s="8"/>
      <c r="N194" s="271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1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2296416.74+7300+50021+46426.58</f>
        <v>2400164.3200000003</v>
      </c>
      <c r="G197" s="18">
        <v>1183565.73</v>
      </c>
      <c r="H197" s="18">
        <f>474.82+519.2</f>
        <v>994.02</v>
      </c>
      <c r="I197" s="18">
        <f>18248.5+7379.28+20907.2+6814.04+6096.22+3394.66</f>
        <v>62839.899999999994</v>
      </c>
      <c r="J197" s="18">
        <f>4267.2+230.31+505.64+192</f>
        <v>5195.1500000000005</v>
      </c>
      <c r="K197" s="18">
        <v>322.58</v>
      </c>
      <c r="L197" s="19">
        <f>SUM(F197:K197)</f>
        <v>3653081.7</v>
      </c>
      <c r="M197" s="8"/>
      <c r="N197" s="271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777390.96+28719.88+97275.9</f>
        <v>903386.74</v>
      </c>
      <c r="G198" s="18">
        <v>351417.29</v>
      </c>
      <c r="H198" s="18">
        <f>192741.73+450+92.5</f>
        <v>193284.23</v>
      </c>
      <c r="I198" s="18">
        <f>11124.63+140.55+933.71</f>
        <v>12198.89</v>
      </c>
      <c r="J198" s="18">
        <f>2834.55+1612</f>
        <v>4446.55</v>
      </c>
      <c r="K198" s="18">
        <v>125</v>
      </c>
      <c r="L198" s="19">
        <f>SUM(F198:K198)</f>
        <v>1464858.7</v>
      </c>
      <c r="M198" s="8"/>
      <c r="N198" s="271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1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450885.13</v>
      </c>
      <c r="G202" s="18">
        <v>275986.53999999998</v>
      </c>
      <c r="H202" s="18">
        <v>48617.83</v>
      </c>
      <c r="I202" s="18">
        <v>9571.1200000000008</v>
      </c>
      <c r="J202" s="18">
        <v>992.17</v>
      </c>
      <c r="K202" s="18"/>
      <c r="L202" s="19">
        <f t="shared" ref="L202:L208" si="0">SUM(F202:K202)</f>
        <v>786052.78999999992</v>
      </c>
      <c r="M202" s="8"/>
      <c r="N202" s="271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115132</v>
      </c>
      <c r="G203" s="18">
        <f>47583.7+72972.69+228.39</f>
        <v>120784.78</v>
      </c>
      <c r="H203" s="18">
        <v>1380.22</v>
      </c>
      <c r="I203" s="18">
        <v>6175.61</v>
      </c>
      <c r="J203" s="18">
        <v>16326.33</v>
      </c>
      <c r="K203" s="18"/>
      <c r="L203" s="19">
        <f t="shared" si="0"/>
        <v>259798.93999999997</v>
      </c>
      <c r="M203" s="8"/>
      <c r="N203" s="271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305541.09999999998</v>
      </c>
      <c r="I204" s="18">
        <v>7447.82</v>
      </c>
      <c r="J204" s="18"/>
      <c r="K204" s="18"/>
      <c r="L204" s="19">
        <f t="shared" si="0"/>
        <v>312988.92</v>
      </c>
      <c r="M204" s="8"/>
      <c r="N204" s="271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317465.28000000003</v>
      </c>
      <c r="G205" s="18">
        <v>142811.98000000001</v>
      </c>
      <c r="H205" s="18">
        <v>42379.5</v>
      </c>
      <c r="I205" s="18">
        <v>49558.68</v>
      </c>
      <c r="J205" s="18">
        <v>1741.92</v>
      </c>
      <c r="K205" s="18">
        <v>1174.1600000000001</v>
      </c>
      <c r="L205" s="19">
        <f t="shared" si="0"/>
        <v>555131.52000000014</v>
      </c>
      <c r="M205" s="8"/>
      <c r="N205" s="271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750.13</v>
      </c>
      <c r="L206" s="19">
        <f t="shared" si="0"/>
        <v>750.13</v>
      </c>
      <c r="M206" s="8"/>
      <c r="N206" s="271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256058.97</v>
      </c>
      <c r="G207" s="18">
        <v>129646.43</v>
      </c>
      <c r="H207" s="18">
        <f>151673.76+11900.37</f>
        <v>163574.13</v>
      </c>
      <c r="I207" s="18">
        <f>149336.1+93.02</f>
        <v>149429.12</v>
      </c>
      <c r="J207" s="18">
        <v>2981.2</v>
      </c>
      <c r="K207" s="18">
        <v>4259</v>
      </c>
      <c r="L207" s="19">
        <f t="shared" si="0"/>
        <v>705948.85</v>
      </c>
      <c r="M207" s="8"/>
      <c r="N207" s="271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358667.2</v>
      </c>
      <c r="I208" s="18">
        <v>32645.78</v>
      </c>
      <c r="J208" s="18"/>
      <c r="K208" s="18"/>
      <c r="L208" s="19">
        <f t="shared" si="0"/>
        <v>391312.98</v>
      </c>
      <c r="M208" s="8"/>
      <c r="N208" s="271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1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4443092.4400000004</v>
      </c>
      <c r="G211" s="41">
        <f t="shared" si="1"/>
        <v>2204212.75</v>
      </c>
      <c r="H211" s="41">
        <f t="shared" si="1"/>
        <v>1114438.23</v>
      </c>
      <c r="I211" s="41">
        <f t="shared" si="1"/>
        <v>329866.92000000004</v>
      </c>
      <c r="J211" s="41">
        <f t="shared" si="1"/>
        <v>31683.320000000003</v>
      </c>
      <c r="K211" s="41">
        <f t="shared" si="1"/>
        <v>6630.87</v>
      </c>
      <c r="L211" s="41">
        <f t="shared" si="1"/>
        <v>8129924.5300000012</v>
      </c>
      <c r="M211" s="8"/>
      <c r="N211" s="271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6" t="s">
        <v>687</v>
      </c>
      <c r="G212" s="176" t="s">
        <v>688</v>
      </c>
      <c r="H212" s="176" t="s">
        <v>689</v>
      </c>
      <c r="I212" s="176" t="s">
        <v>690</v>
      </c>
      <c r="J212" s="176" t="s">
        <v>691</v>
      </c>
      <c r="K212" s="176" t="s">
        <v>692</v>
      </c>
      <c r="L212" s="67"/>
      <c r="M212" s="8"/>
      <c r="N212" s="271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1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1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 t="s">
        <v>284</v>
      </c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1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1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6" t="s">
        <v>687</v>
      </c>
      <c r="G230" s="176" t="s">
        <v>688</v>
      </c>
      <c r="H230" s="176" t="s">
        <v>689</v>
      </c>
      <c r="I230" s="176" t="s">
        <v>690</v>
      </c>
      <c r="J230" s="176" t="s">
        <v>691</v>
      </c>
      <c r="K230" s="176" t="s">
        <v>692</v>
      </c>
      <c r="L230" s="67"/>
      <c r="M230" s="8"/>
      <c r="N230" s="271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1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1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1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1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1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1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6" t="s">
        <v>687</v>
      </c>
      <c r="G248" s="176" t="s">
        <v>688</v>
      </c>
      <c r="H248" s="176" t="s">
        <v>689</v>
      </c>
      <c r="I248" s="176" t="s">
        <v>690</v>
      </c>
      <c r="J248" s="176" t="s">
        <v>691</v>
      </c>
      <c r="K248" s="176" t="s">
        <v>692</v>
      </c>
      <c r="L248" s="67"/>
      <c r="M248" s="8"/>
      <c r="N248" s="271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24885</v>
      </c>
      <c r="I255" s="18"/>
      <c r="J255" s="18"/>
      <c r="K255" s="18"/>
      <c r="L255" s="19">
        <f t="shared" si="6"/>
        <v>24885</v>
      </c>
      <c r="M255" s="8"/>
      <c r="N255" s="271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24885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24885</v>
      </c>
      <c r="M256" s="8"/>
      <c r="N256" s="271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4443092.4400000004</v>
      </c>
      <c r="G257" s="41">
        <f t="shared" si="8"/>
        <v>2204212.75</v>
      </c>
      <c r="H257" s="41">
        <f t="shared" si="8"/>
        <v>1139323.23</v>
      </c>
      <c r="I257" s="41">
        <f t="shared" si="8"/>
        <v>329866.92000000004</v>
      </c>
      <c r="J257" s="41">
        <f t="shared" si="8"/>
        <v>31683.320000000003</v>
      </c>
      <c r="K257" s="41">
        <f t="shared" si="8"/>
        <v>6630.87</v>
      </c>
      <c r="L257" s="41">
        <f t="shared" si="8"/>
        <v>8154809.5300000012</v>
      </c>
      <c r="M257" s="8"/>
      <c r="N257" s="271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1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1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205169.13</v>
      </c>
      <c r="L260" s="19">
        <f>SUM(F260:K260)</f>
        <v>205169.13</v>
      </c>
      <c r="M260" s="8"/>
      <c r="N260" s="271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275155.86</v>
      </c>
      <c r="L261" s="19">
        <f>SUM(F261:K261)</f>
        <v>275155.86</v>
      </c>
      <c r="N261" s="269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9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69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69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69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f>140000</f>
        <v>140000</v>
      </c>
      <c r="L266" s="19">
        <f t="shared" si="9"/>
        <v>140000</v>
      </c>
      <c r="N266" s="269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9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69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69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620324.99</v>
      </c>
      <c r="L270" s="41">
        <f t="shared" si="9"/>
        <v>620324.99</v>
      </c>
      <c r="N270" s="269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4443092.4400000004</v>
      </c>
      <c r="G271" s="42">
        <f t="shared" si="11"/>
        <v>2204212.75</v>
      </c>
      <c r="H271" s="42">
        <f t="shared" si="11"/>
        <v>1139323.23</v>
      </c>
      <c r="I271" s="42">
        <f t="shared" si="11"/>
        <v>329866.92000000004</v>
      </c>
      <c r="J271" s="42">
        <f t="shared" si="11"/>
        <v>31683.320000000003</v>
      </c>
      <c r="K271" s="42">
        <f t="shared" si="11"/>
        <v>626955.86</v>
      </c>
      <c r="L271" s="42">
        <f t="shared" si="11"/>
        <v>8775134.5200000014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464</v>
      </c>
      <c r="F273" s="176" t="s">
        <v>687</v>
      </c>
      <c r="G273" s="176" t="s">
        <v>688</v>
      </c>
      <c r="H273" s="176" t="s">
        <v>689</v>
      </c>
      <c r="I273" s="176" t="s">
        <v>690</v>
      </c>
      <c r="J273" s="176" t="s">
        <v>691</v>
      </c>
      <c r="K273" s="176" t="s">
        <v>692</v>
      </c>
      <c r="M273" s="8"/>
      <c r="N273" s="271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1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9283.75+19698.38</f>
        <v>28982.13</v>
      </c>
      <c r="G276" s="18"/>
      <c r="H276" s="18"/>
      <c r="I276" s="18">
        <f>6980.79+4636.87</f>
        <v>11617.66</v>
      </c>
      <c r="J276" s="18"/>
      <c r="K276" s="18"/>
      <c r="L276" s="19">
        <f>SUM(F276:K276)</f>
        <v>40599.79</v>
      </c>
      <c r="M276" s="8"/>
      <c r="N276" s="271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147368.26999999999</v>
      </c>
      <c r="G277" s="18"/>
      <c r="H277" s="18">
        <v>7600</v>
      </c>
      <c r="I277" s="18"/>
      <c r="J277" s="18"/>
      <c r="K277" s="18"/>
      <c r="L277" s="19">
        <f>SUM(F277:K277)</f>
        <v>154968.26999999999</v>
      </c>
      <c r="M277" s="8"/>
      <c r="N277" s="271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1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8120</v>
      </c>
      <c r="I281" s="18"/>
      <c r="J281" s="18"/>
      <c r="K281" s="18"/>
      <c r="L281" s="19">
        <f t="shared" ref="L281:L287" si="12">SUM(F281:K281)</f>
        <v>8120</v>
      </c>
      <c r="M281" s="8"/>
      <c r="N281" s="271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1000</v>
      </c>
      <c r="G282" s="18"/>
      <c r="H282" s="18">
        <v>6663.14</v>
      </c>
      <c r="I282" s="18"/>
      <c r="J282" s="18"/>
      <c r="K282" s="18"/>
      <c r="L282" s="19">
        <f t="shared" si="12"/>
        <v>7663.14</v>
      </c>
      <c r="M282" s="8"/>
      <c r="N282" s="271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1337</v>
      </c>
      <c r="I287" s="18"/>
      <c r="J287" s="18">
        <v>6877.46</v>
      </c>
      <c r="K287" s="18"/>
      <c r="L287" s="19">
        <f t="shared" si="12"/>
        <v>8214.4599999999991</v>
      </c>
      <c r="M287" s="8"/>
      <c r="N287" s="271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1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177350.39999999999</v>
      </c>
      <c r="G290" s="42">
        <f t="shared" si="13"/>
        <v>0</v>
      </c>
      <c r="H290" s="42">
        <f t="shared" si="13"/>
        <v>23720.14</v>
      </c>
      <c r="I290" s="42">
        <f t="shared" si="13"/>
        <v>11617.66</v>
      </c>
      <c r="J290" s="42">
        <f t="shared" si="13"/>
        <v>6877.46</v>
      </c>
      <c r="K290" s="42">
        <f t="shared" si="13"/>
        <v>0</v>
      </c>
      <c r="L290" s="41">
        <f t="shared" si="13"/>
        <v>219565.66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6" t="s">
        <v>687</v>
      </c>
      <c r="G292" s="176" t="s">
        <v>688</v>
      </c>
      <c r="H292" s="176" t="s">
        <v>689</v>
      </c>
      <c r="I292" s="176" t="s">
        <v>690</v>
      </c>
      <c r="J292" s="176" t="s">
        <v>691</v>
      </c>
      <c r="K292" s="176" t="s">
        <v>692</v>
      </c>
      <c r="L292" s="17"/>
      <c r="M292" s="8"/>
      <c r="N292" s="271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1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1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1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6" t="s">
        <v>687</v>
      </c>
      <c r="G311" s="176" t="s">
        <v>688</v>
      </c>
      <c r="H311" s="176" t="s">
        <v>689</v>
      </c>
      <c r="I311" s="176" t="s">
        <v>690</v>
      </c>
      <c r="J311" s="176" t="s">
        <v>691</v>
      </c>
      <c r="K311" s="176" t="s">
        <v>692</v>
      </c>
      <c r="L311" s="20"/>
      <c r="M311" s="8"/>
      <c r="N311" s="271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1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1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1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6" t="s">
        <v>687</v>
      </c>
      <c r="G330" s="176" t="s">
        <v>688</v>
      </c>
      <c r="H330" s="176" t="s">
        <v>689</v>
      </c>
      <c r="I330" s="176" t="s">
        <v>690</v>
      </c>
      <c r="J330" s="176" t="s">
        <v>691</v>
      </c>
      <c r="K330" s="176" t="s">
        <v>692</v>
      </c>
      <c r="L330" s="19"/>
      <c r="M330" s="8"/>
      <c r="N330" s="271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177350.39999999999</v>
      </c>
      <c r="G338" s="41">
        <f t="shared" si="20"/>
        <v>0</v>
      </c>
      <c r="H338" s="41">
        <f t="shared" si="20"/>
        <v>23720.14</v>
      </c>
      <c r="I338" s="41">
        <f t="shared" si="20"/>
        <v>11617.66</v>
      </c>
      <c r="J338" s="41">
        <f t="shared" si="20"/>
        <v>6877.46</v>
      </c>
      <c r="K338" s="41">
        <f t="shared" si="20"/>
        <v>0</v>
      </c>
      <c r="L338" s="41">
        <f t="shared" si="20"/>
        <v>219565.66</v>
      </c>
      <c r="M338" s="8"/>
      <c r="N338" s="271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1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1038.49</v>
      </c>
      <c r="L344" s="19">
        <f t="shared" ref="L344:L350" si="21">SUM(F344:K344)</f>
        <v>1038.49</v>
      </c>
      <c r="M344" s="8"/>
      <c r="N344" s="271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1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1038.49</v>
      </c>
      <c r="L351" s="41">
        <f>SUM(L341:L350)</f>
        <v>1038.49</v>
      </c>
      <c r="M351" s="8"/>
      <c r="N351" s="271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177350.39999999999</v>
      </c>
      <c r="G352" s="41">
        <f>G338</f>
        <v>0</v>
      </c>
      <c r="H352" s="41">
        <f>H338</f>
        <v>23720.14</v>
      </c>
      <c r="I352" s="41">
        <f>I338</f>
        <v>11617.66</v>
      </c>
      <c r="J352" s="41">
        <f>J338</f>
        <v>6877.46</v>
      </c>
      <c r="K352" s="47">
        <f>K338+K351</f>
        <v>1038.49</v>
      </c>
      <c r="L352" s="41">
        <f>L338+L351</f>
        <v>220604.15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687</v>
      </c>
      <c r="G354" s="176" t="s">
        <v>688</v>
      </c>
      <c r="H354" s="176" t="s">
        <v>689</v>
      </c>
      <c r="I354" s="176" t="s">
        <v>690</v>
      </c>
      <c r="J354" s="176" t="s">
        <v>691</v>
      </c>
      <c r="K354" s="176" t="s">
        <v>692</v>
      </c>
      <c r="L354" s="53"/>
      <c r="M354" s="8"/>
      <c r="N354" s="271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1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1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69908.679999999993</v>
      </c>
      <c r="G358" s="18">
        <v>1487.5</v>
      </c>
      <c r="H358" s="18">
        <v>647.41</v>
      </c>
      <c r="I358" s="18">
        <v>83279.02</v>
      </c>
      <c r="J358" s="18">
        <v>16834</v>
      </c>
      <c r="K358" s="18">
        <v>200</v>
      </c>
      <c r="L358" s="13">
        <f>SUM(F358:K358)</f>
        <v>172356.61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1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69908.679999999993</v>
      </c>
      <c r="G362" s="47">
        <f t="shared" si="22"/>
        <v>1487.5</v>
      </c>
      <c r="H362" s="47">
        <f t="shared" si="22"/>
        <v>647.41</v>
      </c>
      <c r="I362" s="47">
        <f t="shared" si="22"/>
        <v>83279.02</v>
      </c>
      <c r="J362" s="47">
        <f t="shared" si="22"/>
        <v>16834</v>
      </c>
      <c r="K362" s="47">
        <f t="shared" si="22"/>
        <v>200</v>
      </c>
      <c r="L362" s="47">
        <f t="shared" si="22"/>
        <v>172356.61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1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66986.19</v>
      </c>
      <c r="G367" s="18"/>
      <c r="H367" s="18"/>
      <c r="I367" s="56">
        <f>SUM(F367:H367)</f>
        <v>66986.19</v>
      </c>
      <c r="J367" s="24" t="s">
        <v>286</v>
      </c>
      <c r="K367" s="24" t="s">
        <v>286</v>
      </c>
      <c r="L367" s="24" t="s">
        <v>286</v>
      </c>
      <c r="M367" s="8"/>
      <c r="N367" s="271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16292.83</v>
      </c>
      <c r="G368" s="63"/>
      <c r="H368" s="63"/>
      <c r="I368" s="56">
        <f>SUM(F368:H368)</f>
        <v>16292.83</v>
      </c>
      <c r="J368" s="24" t="s">
        <v>286</v>
      </c>
      <c r="K368" s="24" t="s">
        <v>286</v>
      </c>
      <c r="L368" s="24" t="s">
        <v>286</v>
      </c>
      <c r="M368" s="8"/>
      <c r="N368" s="271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83279.02</v>
      </c>
      <c r="G369" s="47">
        <f>SUM(G367:G368)</f>
        <v>0</v>
      </c>
      <c r="H369" s="47">
        <f>SUM(H367:H368)</f>
        <v>0</v>
      </c>
      <c r="I369" s="47">
        <f>SUM(I367:I368)</f>
        <v>83279.02</v>
      </c>
      <c r="J369" s="24" t="s">
        <v>286</v>
      </c>
      <c r="K369" s="24" t="s">
        <v>286</v>
      </c>
      <c r="L369" s="24" t="s">
        <v>286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6" t="s">
        <v>687</v>
      </c>
      <c r="G371" s="176" t="s">
        <v>688</v>
      </c>
      <c r="H371" s="176" t="s">
        <v>689</v>
      </c>
      <c r="I371" s="176" t="s">
        <v>690</v>
      </c>
      <c r="J371" s="176" t="s">
        <v>691</v>
      </c>
      <c r="K371" s="176" t="s">
        <v>692</v>
      </c>
      <c r="L371" s="13"/>
      <c r="M371" s="8"/>
      <c r="N371" s="271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1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1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1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1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1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1"/>
    </row>
    <row r="393" spans="1:14" s="3" customFormat="1" ht="12.2" customHeight="1" thickTop="1" x14ac:dyDescent="0.15">
      <c r="A393" s="159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1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1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40000</v>
      </c>
      <c r="H396" s="18">
        <v>8.08</v>
      </c>
      <c r="I396" s="18"/>
      <c r="J396" s="24" t="s">
        <v>286</v>
      </c>
      <c r="K396" s="24" t="s">
        <v>286</v>
      </c>
      <c r="L396" s="56">
        <f t="shared" si="26"/>
        <v>40008.080000000002</v>
      </c>
      <c r="M396" s="8"/>
      <c r="N396" s="271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100000</v>
      </c>
      <c r="H397" s="18">
        <v>31.69</v>
      </c>
      <c r="I397" s="18"/>
      <c r="J397" s="24" t="s">
        <v>286</v>
      </c>
      <c r="K397" s="24" t="s">
        <v>286</v>
      </c>
      <c r="L397" s="56">
        <f t="shared" si="26"/>
        <v>100031.69</v>
      </c>
      <c r="M397" s="8"/>
      <c r="N397" s="271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1"/>
    </row>
    <row r="401" spans="1:35" s="3" customFormat="1" ht="12.2" customHeight="1" thickTop="1" x14ac:dyDescent="0.15">
      <c r="A401" s="159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140000</v>
      </c>
      <c r="H401" s="47">
        <f>SUM(H395:H400)</f>
        <v>39.770000000000003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140039.77000000002</v>
      </c>
      <c r="M401" s="8"/>
      <c r="N401" s="271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1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1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1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1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1"/>
    </row>
    <row r="407" spans="1:35" s="3" customFormat="1" ht="12.2" customHeight="1" thickTop="1" thickBot="1" x14ac:dyDescent="0.2">
      <c r="A407" s="159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1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140000</v>
      </c>
      <c r="H408" s="47">
        <f>H393+H401+H407</f>
        <v>39.770000000000003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140039.77000000002</v>
      </c>
      <c r="M408" s="8"/>
      <c r="N408" s="271"/>
    </row>
    <row r="409" spans="1:35" s="3" customFormat="1" ht="12.2" customHeight="1" x14ac:dyDescent="0.15">
      <c r="A409" s="78"/>
      <c r="B409" s="2"/>
      <c r="C409" s="6"/>
      <c r="D409" s="6"/>
      <c r="E409" s="6"/>
      <c r="F409" s="176" t="s">
        <v>687</v>
      </c>
      <c r="G409" s="176" t="s">
        <v>688</v>
      </c>
      <c r="H409" s="176" t="s">
        <v>689</v>
      </c>
      <c r="I409" s="176" t="s">
        <v>690</v>
      </c>
      <c r="J409" s="176" t="s">
        <v>691</v>
      </c>
      <c r="K409" s="176" t="s">
        <v>692</v>
      </c>
      <c r="L409" s="56"/>
      <c r="M409" s="8"/>
      <c r="N409" s="271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1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1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1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35" s="3" customFormat="1" ht="12.2" customHeight="1" thickTop="1" x14ac:dyDescent="0.15">
      <c r="A419" s="159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1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>
        <v>23298</v>
      </c>
      <c r="K422" s="18"/>
      <c r="L422" s="56">
        <f t="shared" si="29"/>
        <v>23298</v>
      </c>
      <c r="M422" s="8"/>
      <c r="N422" s="271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35" s="3" customFormat="1" ht="12.2" customHeight="1" thickTop="1" x14ac:dyDescent="0.15">
      <c r="A427" s="159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23298</v>
      </c>
      <c r="K427" s="47">
        <f t="shared" si="30"/>
        <v>0</v>
      </c>
      <c r="L427" s="47">
        <f t="shared" si="30"/>
        <v>23298</v>
      </c>
      <c r="M427" s="8"/>
      <c r="N427" s="271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6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59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23298</v>
      </c>
      <c r="K434" s="47">
        <f t="shared" si="32"/>
        <v>0</v>
      </c>
      <c r="L434" s="47">
        <f t="shared" si="32"/>
        <v>23298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1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1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1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1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195679.06</v>
      </c>
      <c r="H442" s="18"/>
      <c r="I442" s="56">
        <f t="shared" si="33"/>
        <v>195679.06</v>
      </c>
      <c r="J442" s="24" t="s">
        <v>286</v>
      </c>
      <c r="K442" s="24" t="s">
        <v>286</v>
      </c>
      <c r="L442" s="24" t="s">
        <v>286</v>
      </c>
      <c r="M442" s="8"/>
      <c r="N442" s="271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1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1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1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195679.06</v>
      </c>
      <c r="H446" s="13">
        <f>SUM(H439:H445)</f>
        <v>0</v>
      </c>
      <c r="I446" s="13">
        <f>SUM(I439:I445)</f>
        <v>195679.06</v>
      </c>
      <c r="J446" s="24" t="s">
        <v>286</v>
      </c>
      <c r="K446" s="24" t="s">
        <v>286</v>
      </c>
      <c r="L446" s="24" t="s">
        <v>286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1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55225.21</v>
      </c>
      <c r="H448" s="18"/>
      <c r="I448" s="56">
        <f>SUM(F448:H448)</f>
        <v>55225.21</v>
      </c>
      <c r="J448" s="24" t="s">
        <v>286</v>
      </c>
      <c r="K448" s="24" t="s">
        <v>286</v>
      </c>
      <c r="L448" s="24" t="s">
        <v>286</v>
      </c>
      <c r="M448" s="8"/>
      <c r="N448" s="271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1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1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1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55225.21</v>
      </c>
      <c r="H452" s="72">
        <f>SUM(H448:H451)</f>
        <v>0</v>
      </c>
      <c r="I452" s="72">
        <f>SUM(I448:I451)</f>
        <v>55225.21</v>
      </c>
      <c r="J452" s="24" t="s">
        <v>286</v>
      </c>
      <c r="K452" s="24" t="s">
        <v>286</v>
      </c>
      <c r="L452" s="24" t="s">
        <v>286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1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1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1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6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140453.85</v>
      </c>
      <c r="H459" s="18"/>
      <c r="I459" s="56">
        <f t="shared" si="34"/>
        <v>140453.85</v>
      </c>
      <c r="J459" s="24" t="s">
        <v>286</v>
      </c>
      <c r="K459" s="24" t="s">
        <v>286</v>
      </c>
      <c r="L459" s="24" t="s">
        <v>286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140453.85</v>
      </c>
      <c r="H460" s="83">
        <f>SUM(H454:H459)</f>
        <v>0</v>
      </c>
      <c r="I460" s="83">
        <f>SUM(I454:I459)</f>
        <v>140453.85</v>
      </c>
      <c r="J460" s="24" t="s">
        <v>286</v>
      </c>
      <c r="K460" s="24" t="s">
        <v>286</v>
      </c>
      <c r="L460" s="24" t="s">
        <v>286</v>
      </c>
      <c r="N460" s="270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6" t="s">
        <v>430</v>
      </c>
      <c r="E461" s="82"/>
      <c r="F461" s="42">
        <f>F452+F460</f>
        <v>0</v>
      </c>
      <c r="G461" s="42">
        <f>G452+G460</f>
        <v>195679.06</v>
      </c>
      <c r="H461" s="42">
        <f>H452+H460</f>
        <v>0</v>
      </c>
      <c r="I461" s="42">
        <f>I452+I460</f>
        <v>195679.06</v>
      </c>
      <c r="J461" s="24" t="s">
        <v>286</v>
      </c>
      <c r="K461" s="24" t="s">
        <v>286</v>
      </c>
      <c r="L461" s="24" t="s">
        <v>286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8" t="s">
        <v>903</v>
      </c>
      <c r="B465" s="105">
        <v>19</v>
      </c>
      <c r="C465" s="111">
        <v>1</v>
      </c>
      <c r="D465" s="2" t="s">
        <v>430</v>
      </c>
      <c r="E465" s="111"/>
      <c r="F465" s="18">
        <v>416751.82</v>
      </c>
      <c r="G465" s="18">
        <v>47471.9</v>
      </c>
      <c r="H465" s="18">
        <v>34314.879999999997</v>
      </c>
      <c r="I465" s="18">
        <v>0</v>
      </c>
      <c r="J465" s="18">
        <v>23712.080000000002</v>
      </c>
      <c r="K465" s="24" t="s">
        <v>286</v>
      </c>
      <c r="L465" s="24" t="s">
        <v>286</v>
      </c>
      <c r="N465" s="270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0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0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8608779.0600000005</v>
      </c>
      <c r="G468" s="18">
        <v>163640.57999999999</v>
      </c>
      <c r="H468" s="18">
        <v>226409.11</v>
      </c>
      <c r="I468" s="18"/>
      <c r="J468" s="18">
        <v>140039.76999999999</v>
      </c>
      <c r="K468" s="24" t="s">
        <v>286</v>
      </c>
      <c r="L468" s="24" t="s">
        <v>286</v>
      </c>
      <c r="N468" s="270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0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8608779.0600000005</v>
      </c>
      <c r="G470" s="53">
        <f>SUM(G468:G469)</f>
        <v>163640.57999999999</v>
      </c>
      <c r="H470" s="53">
        <f>SUM(H468:H469)</f>
        <v>226409.11</v>
      </c>
      <c r="I470" s="53">
        <f>SUM(I468:I469)</f>
        <v>0</v>
      </c>
      <c r="J470" s="53">
        <f>SUM(J468:J469)</f>
        <v>140039.76999999999</v>
      </c>
      <c r="K470" s="24" t="s">
        <v>286</v>
      </c>
      <c r="L470" s="24" t="s">
        <v>286</v>
      </c>
      <c r="N470" s="270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0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8775134.5199999996</v>
      </c>
      <c r="G472" s="18">
        <v>172356.61</v>
      </c>
      <c r="H472" s="18">
        <v>220604.15</v>
      </c>
      <c r="I472" s="18"/>
      <c r="J472" s="18">
        <v>23298</v>
      </c>
      <c r="K472" s="24" t="s">
        <v>286</v>
      </c>
      <c r="L472" s="24" t="s">
        <v>286</v>
      </c>
      <c r="N472" s="270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0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8775134.5199999996</v>
      </c>
      <c r="G474" s="53">
        <f>SUM(G472:G473)</f>
        <v>172356.61</v>
      </c>
      <c r="H474" s="53">
        <f>SUM(H472:H473)</f>
        <v>220604.15</v>
      </c>
      <c r="I474" s="53">
        <f>SUM(I472:I473)</f>
        <v>0</v>
      </c>
      <c r="J474" s="53">
        <f>SUM(J472:J473)</f>
        <v>23298</v>
      </c>
      <c r="K474" s="24" t="s">
        <v>286</v>
      </c>
      <c r="L474" s="24" t="s">
        <v>286</v>
      </c>
      <c r="N474" s="270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0"/>
    </row>
    <row r="476" spans="1:14" s="52" customFormat="1" ht="12.2" customHeight="1" x14ac:dyDescent="0.2">
      <c r="A476" s="189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250396.36000000127</v>
      </c>
      <c r="G476" s="53">
        <f>(G465+G470)- G474</f>
        <v>38755.869999999995</v>
      </c>
      <c r="H476" s="53">
        <f>(H465+H470)- H474</f>
        <v>40119.839999999997</v>
      </c>
      <c r="I476" s="53">
        <f>(I465+I470)- I474</f>
        <v>0</v>
      </c>
      <c r="J476" s="53">
        <f>(J465+J470)- J474</f>
        <v>140453.84999999998</v>
      </c>
      <c r="K476" s="24" t="s">
        <v>286</v>
      </c>
      <c r="L476" s="24" t="s">
        <v>286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0"/>
    </row>
    <row r="481" spans="1:14" s="52" customFormat="1" ht="12.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0"/>
    </row>
    <row r="483" spans="1:14" s="52" customFormat="1" ht="12.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0"/>
    </row>
    <row r="485" spans="1:14" s="52" customFormat="1" ht="12.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0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275">
        <v>10</v>
      </c>
      <c r="G490" s="275">
        <v>20</v>
      </c>
      <c r="H490" s="154"/>
      <c r="I490" s="154"/>
      <c r="J490" s="154"/>
      <c r="K490" s="24" t="s">
        <v>286</v>
      </c>
      <c r="L490" s="24" t="s">
        <v>286</v>
      </c>
      <c r="N490" s="270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276" t="s">
        <v>913</v>
      </c>
      <c r="G491" s="276" t="s">
        <v>914</v>
      </c>
      <c r="H491" s="154"/>
      <c r="I491" s="154"/>
      <c r="J491" s="154"/>
      <c r="K491" s="24" t="s">
        <v>286</v>
      </c>
      <c r="L491" s="24" t="s">
        <v>286</v>
      </c>
      <c r="N491" s="270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276" t="s">
        <v>915</v>
      </c>
      <c r="G492" s="276" t="s">
        <v>916</v>
      </c>
      <c r="H492" s="154"/>
      <c r="I492" s="154"/>
      <c r="J492" s="154"/>
      <c r="K492" s="24" t="s">
        <v>286</v>
      </c>
      <c r="L492" s="24" t="s">
        <v>286</v>
      </c>
      <c r="N492" s="270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274">
        <v>408500</v>
      </c>
      <c r="G493" s="274">
        <v>5367912</v>
      </c>
      <c r="H493" s="18"/>
      <c r="I493" s="18"/>
      <c r="J493" s="18"/>
      <c r="K493" s="24" t="s">
        <v>286</v>
      </c>
      <c r="L493" s="24" t="s">
        <v>286</v>
      </c>
      <c r="N493" s="270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274">
        <v>2.3199999999999998</v>
      </c>
      <c r="G494" s="274">
        <v>5.2</v>
      </c>
      <c r="H494" s="18"/>
      <c r="I494" s="18"/>
      <c r="J494" s="18"/>
      <c r="K494" s="24" t="s">
        <v>286</v>
      </c>
      <c r="L494" s="24" t="s">
        <v>286</v>
      </c>
      <c r="N494" s="270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225000</v>
      </c>
      <c r="G495" s="18">
        <v>469948.18</v>
      </c>
      <c r="H495" s="18"/>
      <c r="I495" s="18"/>
      <c r="J495" s="18"/>
      <c r="K495" s="53">
        <f>SUM(F495:J495)</f>
        <v>694948.17999999993</v>
      </c>
      <c r="L495" s="24" t="s">
        <v>286</v>
      </c>
      <c r="N495" s="270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0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40000</v>
      </c>
      <c r="G497" s="18">
        <v>165169.13</v>
      </c>
      <c r="H497" s="18"/>
      <c r="I497" s="18"/>
      <c r="J497" s="18"/>
      <c r="K497" s="53">
        <f t="shared" si="35"/>
        <v>205169.13</v>
      </c>
      <c r="L497" s="24" t="s">
        <v>286</v>
      </c>
      <c r="N497" s="270"/>
    </row>
    <row r="498" spans="1:14" s="52" customFormat="1" ht="12.2" customHeight="1" x14ac:dyDescent="0.2">
      <c r="A498" s="199" t="s">
        <v>620</v>
      </c>
      <c r="B498" s="200">
        <v>20</v>
      </c>
      <c r="C498" s="201">
        <v>9</v>
      </c>
      <c r="D498" s="202" t="s">
        <v>430</v>
      </c>
      <c r="E498" s="201"/>
      <c r="F498" s="203">
        <v>185000</v>
      </c>
      <c r="G498" s="203">
        <v>304779.05</v>
      </c>
      <c r="H498" s="203"/>
      <c r="I498" s="203"/>
      <c r="J498" s="203"/>
      <c r="K498" s="204">
        <f t="shared" si="35"/>
        <v>489779.05</v>
      </c>
      <c r="L498" s="205" t="s">
        <v>286</v>
      </c>
      <c r="N498" s="270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17150</v>
      </c>
      <c r="G499" s="18">
        <v>558795.94999999995</v>
      </c>
      <c r="H499" s="18"/>
      <c r="I499" s="18"/>
      <c r="J499" s="18"/>
      <c r="K499" s="53">
        <f t="shared" si="35"/>
        <v>575945.94999999995</v>
      </c>
      <c r="L499" s="24" t="s">
        <v>286</v>
      </c>
      <c r="N499" s="270"/>
    </row>
    <row r="500" spans="1:14" s="52" customFormat="1" ht="12.2" customHeight="1" thickTop="1" x14ac:dyDescent="0.2">
      <c r="A500" s="139" t="s">
        <v>622</v>
      </c>
      <c r="B500" s="44">
        <v>20</v>
      </c>
      <c r="C500" s="194">
        <v>11</v>
      </c>
      <c r="D500" s="39" t="s">
        <v>430</v>
      </c>
      <c r="E500" s="194"/>
      <c r="F500" s="42">
        <f>SUM(F498:F499)</f>
        <v>202150</v>
      </c>
      <c r="G500" s="42">
        <f>SUM(G498:G499)</f>
        <v>863575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1065725</v>
      </c>
      <c r="L500" s="45" t="s">
        <v>286</v>
      </c>
      <c r="N500" s="270"/>
    </row>
    <row r="501" spans="1:14" s="52" customFormat="1" ht="12.2" customHeight="1" x14ac:dyDescent="0.2">
      <c r="A501" s="199" t="s">
        <v>649</v>
      </c>
      <c r="B501" s="200">
        <v>20</v>
      </c>
      <c r="C501" s="201">
        <v>12</v>
      </c>
      <c r="D501" s="202" t="s">
        <v>430</v>
      </c>
      <c r="E501" s="201"/>
      <c r="F501" s="203">
        <v>40000</v>
      </c>
      <c r="G501" s="203">
        <v>156525.72</v>
      </c>
      <c r="H501" s="203"/>
      <c r="I501" s="203"/>
      <c r="J501" s="203"/>
      <c r="K501" s="204">
        <f t="shared" si="35"/>
        <v>196525.72</v>
      </c>
      <c r="L501" s="205" t="s">
        <v>286</v>
      </c>
      <c r="N501" s="270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6100</v>
      </c>
      <c r="G502" s="18">
        <v>276024.28000000003</v>
      </c>
      <c r="H502" s="18"/>
      <c r="I502" s="18"/>
      <c r="J502" s="18"/>
      <c r="K502" s="53">
        <f t="shared" si="35"/>
        <v>282124.28000000003</v>
      </c>
      <c r="L502" s="24" t="s">
        <v>286</v>
      </c>
      <c r="N502" s="270"/>
    </row>
    <row r="503" spans="1:14" s="52" customFormat="1" ht="12.2" customHeight="1" thickTop="1" x14ac:dyDescent="0.2">
      <c r="A503" s="139" t="s">
        <v>624</v>
      </c>
      <c r="B503" s="44">
        <v>20</v>
      </c>
      <c r="C503" s="194">
        <v>14</v>
      </c>
      <c r="D503" s="39" t="s">
        <v>430</v>
      </c>
      <c r="E503" s="194"/>
      <c r="F503" s="42">
        <f>SUM(F501:F502)</f>
        <v>46100</v>
      </c>
      <c r="G503" s="42">
        <f>SUM(G501:G502)</f>
        <v>432550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478650</v>
      </c>
      <c r="L503" s="45" t="s">
        <v>286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0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0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0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0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0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0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0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6" t="s">
        <v>687</v>
      </c>
      <c r="G518" s="176" t="s">
        <v>688</v>
      </c>
      <c r="H518" s="176" t="s">
        <v>689</v>
      </c>
      <c r="I518" s="176" t="s">
        <v>690</v>
      </c>
      <c r="J518" s="176" t="s">
        <v>691</v>
      </c>
      <c r="K518" s="176" t="s">
        <v>692</v>
      </c>
      <c r="L518" s="106"/>
      <c r="N518" s="270"/>
    </row>
    <row r="519" spans="1:14" s="52" customFormat="1" ht="12.2" customHeight="1" x14ac:dyDescent="0.2">
      <c r="A519" s="177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0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955705.95</v>
      </c>
      <c r="G521" s="18">
        <f>F521*0.3</f>
        <v>286711.78499999997</v>
      </c>
      <c r="H521" s="18">
        <v>18750.13</v>
      </c>
      <c r="I521" s="18">
        <v>12198.89</v>
      </c>
      <c r="J521" s="18">
        <v>4446.55</v>
      </c>
      <c r="K521" s="18">
        <v>125</v>
      </c>
      <c r="L521" s="88">
        <f>SUM(F521:K521)</f>
        <v>1277938.3049999997</v>
      </c>
      <c r="N521" s="270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0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4">
        <v>4</v>
      </c>
      <c r="D524" s="195" t="s">
        <v>430</v>
      </c>
      <c r="E524" s="194"/>
      <c r="F524" s="108">
        <f>SUM(F521:F523)</f>
        <v>955705.95</v>
      </c>
      <c r="G524" s="108">
        <f t="shared" ref="G524:L524" si="36">SUM(G521:G523)</f>
        <v>286711.78499999997</v>
      </c>
      <c r="H524" s="108">
        <f t="shared" si="36"/>
        <v>18750.13</v>
      </c>
      <c r="I524" s="108">
        <f t="shared" si="36"/>
        <v>12198.89</v>
      </c>
      <c r="J524" s="108">
        <f t="shared" si="36"/>
        <v>4446.55</v>
      </c>
      <c r="K524" s="108">
        <f t="shared" si="36"/>
        <v>125</v>
      </c>
      <c r="L524" s="89">
        <f t="shared" si="36"/>
        <v>1277938.3049999997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0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450885.13</v>
      </c>
      <c r="G526" s="18">
        <f>F526*0.3</f>
        <v>135265.53899999999</v>
      </c>
      <c r="H526" s="18">
        <v>45737.83</v>
      </c>
      <c r="I526" s="18">
        <v>9571.1200000000008</v>
      </c>
      <c r="J526" s="18">
        <v>992.17</v>
      </c>
      <c r="K526" s="18"/>
      <c r="L526" s="88">
        <f>SUM(F526:K526)</f>
        <v>642451.78899999999</v>
      </c>
      <c r="M526" s="8"/>
      <c r="N526" s="271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7" t="s">
        <v>430</v>
      </c>
      <c r="E529" s="107"/>
      <c r="F529" s="89">
        <f>SUM(F526:F528)</f>
        <v>450885.13</v>
      </c>
      <c r="G529" s="89">
        <f t="shared" ref="G529:L529" si="37">SUM(G526:G528)</f>
        <v>135265.53899999999</v>
      </c>
      <c r="H529" s="89">
        <f t="shared" si="37"/>
        <v>45737.83</v>
      </c>
      <c r="I529" s="89">
        <f t="shared" si="37"/>
        <v>9571.1200000000008</v>
      </c>
      <c r="J529" s="89">
        <f t="shared" si="37"/>
        <v>992.17</v>
      </c>
      <c r="K529" s="89">
        <f t="shared" si="37"/>
        <v>0</v>
      </c>
      <c r="L529" s="89">
        <f t="shared" si="37"/>
        <v>642451.78899999999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1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95049.06</v>
      </c>
      <c r="G531" s="18">
        <v>41193.550000000003</v>
      </c>
      <c r="H531" s="18"/>
      <c r="I531" s="18"/>
      <c r="J531" s="18"/>
      <c r="K531" s="18"/>
      <c r="L531" s="88">
        <f>SUM(F531:K531)</f>
        <v>136242.60999999999</v>
      </c>
      <c r="M531" s="8"/>
      <c r="N531" s="271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7" t="s">
        <v>430</v>
      </c>
      <c r="E534" s="107"/>
      <c r="F534" s="89">
        <f>SUM(F531:F533)</f>
        <v>95049.06</v>
      </c>
      <c r="G534" s="89">
        <f t="shared" ref="G534:L534" si="38">SUM(G531:G533)</f>
        <v>41193.550000000003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136242.60999999999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3" t="s">
        <v>286</v>
      </c>
      <c r="G535" s="193" t="s">
        <v>286</v>
      </c>
      <c r="H535" s="193" t="s">
        <v>286</v>
      </c>
      <c r="I535" s="193" t="s">
        <v>286</v>
      </c>
      <c r="J535" s="193" t="s">
        <v>286</v>
      </c>
      <c r="K535" s="193" t="s">
        <v>286</v>
      </c>
      <c r="L535" s="193" t="s">
        <v>286</v>
      </c>
      <c r="M535" s="8"/>
      <c r="N535" s="271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13341.6</v>
      </c>
      <c r="I536" s="18"/>
      <c r="J536" s="18"/>
      <c r="K536" s="18"/>
      <c r="L536" s="88">
        <f>SUM(F536:K536)</f>
        <v>13341.6</v>
      </c>
      <c r="M536" s="8"/>
      <c r="N536" s="271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7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13341.6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13341.6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1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f>79507.4+30625</f>
        <v>110132.4</v>
      </c>
      <c r="I541" s="18"/>
      <c r="J541" s="18"/>
      <c r="K541" s="18"/>
      <c r="L541" s="88">
        <f>SUM(F541:K541)</f>
        <v>110132.4</v>
      </c>
      <c r="M541" s="8"/>
      <c r="N541" s="271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430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110132.4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110132.4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7" t="s">
        <v>430</v>
      </c>
      <c r="E545" s="107"/>
      <c r="F545" s="89">
        <f>F524+F529+F534+F539+F544</f>
        <v>1501640.1400000001</v>
      </c>
      <c r="G545" s="89">
        <f t="shared" ref="G545:L545" si="41">G524+G529+G534+G539+G544</f>
        <v>463170.87399999995</v>
      </c>
      <c r="H545" s="89">
        <f t="shared" si="41"/>
        <v>187961.96000000002</v>
      </c>
      <c r="I545" s="89">
        <f t="shared" si="41"/>
        <v>21770.010000000002</v>
      </c>
      <c r="J545" s="89">
        <f t="shared" si="41"/>
        <v>5438.72</v>
      </c>
      <c r="K545" s="89">
        <f t="shared" si="41"/>
        <v>125</v>
      </c>
      <c r="L545" s="89">
        <f t="shared" si="41"/>
        <v>2180106.7039999994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1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1277938.3049999997</v>
      </c>
      <c r="G549" s="87">
        <f>L526</f>
        <v>642451.78899999999</v>
      </c>
      <c r="H549" s="87">
        <f>L531</f>
        <v>136242.60999999999</v>
      </c>
      <c r="I549" s="87">
        <f>L536</f>
        <v>13341.6</v>
      </c>
      <c r="J549" s="87">
        <f>L541</f>
        <v>110132.4</v>
      </c>
      <c r="K549" s="87">
        <f>SUM(F549:J549)</f>
        <v>2180106.7039999994</v>
      </c>
      <c r="L549" s="24" t="s">
        <v>286</v>
      </c>
      <c r="M549" s="8"/>
      <c r="N549" s="271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1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1"/>
    </row>
    <row r="552" spans="1:14" s="3" customFormat="1" ht="12.2" customHeight="1" thickTop="1" x14ac:dyDescent="0.15">
      <c r="A552" s="171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1277938.3049999997</v>
      </c>
      <c r="G552" s="89">
        <f t="shared" si="42"/>
        <v>642451.78899999999</v>
      </c>
      <c r="H552" s="89">
        <f t="shared" si="42"/>
        <v>136242.60999999999</v>
      </c>
      <c r="I552" s="89">
        <f t="shared" si="42"/>
        <v>13341.6</v>
      </c>
      <c r="J552" s="89">
        <f t="shared" si="42"/>
        <v>110132.4</v>
      </c>
      <c r="K552" s="89">
        <f t="shared" si="42"/>
        <v>2180106.7039999994</v>
      </c>
      <c r="L552" s="24"/>
      <c r="M552" s="8"/>
      <c r="N552" s="271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6" t="s">
        <v>687</v>
      </c>
      <c r="G554" s="176" t="s">
        <v>688</v>
      </c>
      <c r="H554" s="176" t="s">
        <v>689</v>
      </c>
      <c r="I554" s="176" t="s">
        <v>690</v>
      </c>
      <c r="J554" s="176" t="s">
        <v>691</v>
      </c>
      <c r="K554" s="176" t="s">
        <v>692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1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4">
        <v>4</v>
      </c>
      <c r="D560" s="195" t="s">
        <v>430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1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5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1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430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7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1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1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1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1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1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1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1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1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139791</v>
      </c>
      <c r="G582" s="18"/>
      <c r="H582" s="18"/>
      <c r="I582" s="87">
        <f t="shared" si="47"/>
        <v>139791</v>
      </c>
      <c r="J582" s="24" t="s">
        <v>286</v>
      </c>
      <c r="K582" s="24" t="s">
        <v>286</v>
      </c>
      <c r="L582" s="24" t="s">
        <v>286</v>
      </c>
      <c r="M582" s="8"/>
      <c r="N582" s="271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1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1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1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1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1"/>
    </row>
    <row r="588" spans="1:14" s="3" customFormat="1" ht="12.2" customHeight="1" x14ac:dyDescent="0.15">
      <c r="A588" s="172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21838.5+226696.3+16322.87+16322.91</f>
        <v>281180.57999999996</v>
      </c>
      <c r="I591" s="18"/>
      <c r="J591" s="18"/>
      <c r="K591" s="104">
        <f t="shared" ref="K591:K597" si="48">SUM(H591:J591)</f>
        <v>281180.57999999996</v>
      </c>
      <c r="L591" s="24" t="s">
        <v>286</v>
      </c>
      <c r="M591" s="8"/>
      <c r="N591" s="271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110132.4</v>
      </c>
      <c r="I592" s="18"/>
      <c r="J592" s="18"/>
      <c r="K592" s="104">
        <f t="shared" si="48"/>
        <v>110132.4</v>
      </c>
      <c r="L592" s="24" t="s">
        <v>286</v>
      </c>
      <c r="M592" s="8"/>
      <c r="N592" s="271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1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1"/>
    </row>
    <row r="595" spans="1:14" s="3" customFormat="1" ht="12.2" customHeight="1" x14ac:dyDescent="0.15">
      <c r="A595" s="170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1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1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1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391312.98</v>
      </c>
      <c r="I598" s="108">
        <f>SUM(I591:I597)</f>
        <v>0</v>
      </c>
      <c r="J598" s="108">
        <f>SUM(J591:J597)</f>
        <v>0</v>
      </c>
      <c r="K598" s="108">
        <f>SUM(K591:K597)</f>
        <v>391312.98</v>
      </c>
      <c r="L598" s="24" t="s">
        <v>286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1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1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31683.32+J287</f>
        <v>38560.78</v>
      </c>
      <c r="I604" s="18"/>
      <c r="J604" s="18"/>
      <c r="K604" s="104">
        <f>SUM(H604:J604)</f>
        <v>38560.78</v>
      </c>
      <c r="L604" s="24" t="s">
        <v>286</v>
      </c>
      <c r="M604" s="8"/>
      <c r="N604" s="271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38560.78</v>
      </c>
      <c r="I605" s="108">
        <f>SUM(I602:I604)</f>
        <v>0</v>
      </c>
      <c r="J605" s="108">
        <f>SUM(J602:J604)</f>
        <v>0</v>
      </c>
      <c r="K605" s="108">
        <f>SUM(K602:K604)</f>
        <v>38560.78</v>
      </c>
      <c r="L605" s="24" t="s">
        <v>286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6" t="s">
        <v>687</v>
      </c>
      <c r="G609" s="176" t="s">
        <v>688</v>
      </c>
      <c r="H609" s="176" t="s">
        <v>689</v>
      </c>
      <c r="I609" s="176" t="s">
        <v>690</v>
      </c>
      <c r="J609" s="176" t="s">
        <v>691</v>
      </c>
      <c r="K609" s="176" t="s">
        <v>692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28719.88+269.83</f>
        <v>28989.710000000003</v>
      </c>
      <c r="G611" s="18"/>
      <c r="H611" s="18">
        <v>450</v>
      </c>
      <c r="I611" s="18">
        <v>140.55000000000001</v>
      </c>
      <c r="J611" s="18"/>
      <c r="K611" s="18"/>
      <c r="L611" s="88">
        <f>SUM(F611:K611)</f>
        <v>29580.260000000002</v>
      </c>
      <c r="M611" s="8"/>
      <c r="N611" s="271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28989.710000000003</v>
      </c>
      <c r="G614" s="108">
        <f t="shared" si="49"/>
        <v>0</v>
      </c>
      <c r="H614" s="108">
        <f t="shared" si="49"/>
        <v>450</v>
      </c>
      <c r="I614" s="108">
        <f t="shared" si="49"/>
        <v>140.55000000000001</v>
      </c>
      <c r="J614" s="108">
        <f t="shared" si="49"/>
        <v>0</v>
      </c>
      <c r="K614" s="108">
        <f t="shared" si="49"/>
        <v>0</v>
      </c>
      <c r="L614" s="89">
        <f t="shared" si="49"/>
        <v>29580.260000000002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244443.92999999996</v>
      </c>
      <c r="H617" s="109">
        <f>SUM(F52)</f>
        <v>244443.92999999996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51931.750000000007</v>
      </c>
      <c r="H618" s="109">
        <f>SUM(G52)</f>
        <v>51931.75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158316.28</v>
      </c>
      <c r="H619" s="109">
        <f>SUM(H52)</f>
        <v>158316.28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195679.06</v>
      </c>
      <c r="H621" s="109">
        <f>SUM(J52)</f>
        <v>195679.06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250396.36</v>
      </c>
      <c r="H622" s="109">
        <f>F476</f>
        <v>250396.36000000127</v>
      </c>
      <c r="I622" s="121" t="s">
        <v>101</v>
      </c>
      <c r="J622" s="109">
        <f t="shared" ref="J622:J655" si="50">G622-H622</f>
        <v>-1.280568540096283E-9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38755.869999999995</v>
      </c>
      <c r="H623" s="109">
        <f>G476</f>
        <v>38755.869999999995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40119.839999999997</v>
      </c>
      <c r="H624" s="109">
        <f>H476</f>
        <v>40119.839999999997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140453.85</v>
      </c>
      <c r="H626" s="109">
        <f>J476</f>
        <v>140453.84999999998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8608779.0599999987</v>
      </c>
      <c r="H627" s="104">
        <f>SUM(F468)</f>
        <v>8608779.0600000005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163640.58000000002</v>
      </c>
      <c r="H628" s="104">
        <f>SUM(G468)</f>
        <v>163640.57999999999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226409.11000000002</v>
      </c>
      <c r="H629" s="104">
        <f>SUM(H468)</f>
        <v>226409.11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140039.76999999999</v>
      </c>
      <c r="H631" s="104">
        <f>SUM(J468)</f>
        <v>140039.76999999999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8775134.5200000014</v>
      </c>
      <c r="H632" s="104">
        <f>SUM(F472)</f>
        <v>8775134.5199999996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220604.15</v>
      </c>
      <c r="H633" s="104">
        <f>SUM(H472)</f>
        <v>220604.15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83279.02</v>
      </c>
      <c r="H634" s="104">
        <f>I369</f>
        <v>83279.02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172356.61</v>
      </c>
      <c r="H635" s="104">
        <f>SUM(G472)</f>
        <v>172356.61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 t="s">
        <v>912</v>
      </c>
      <c r="L636" s="88"/>
      <c r="M636" s="167"/>
    </row>
    <row r="637" spans="1:13" s="3" customFormat="1" ht="12.2" customHeight="1" x14ac:dyDescent="0.15">
      <c r="A637" s="160"/>
      <c r="B637" s="161"/>
      <c r="C637" s="161"/>
      <c r="D637" s="161"/>
      <c r="E637" s="161"/>
      <c r="F637" s="162" t="s">
        <v>475</v>
      </c>
      <c r="G637" s="151">
        <f>SUM(L408)</f>
        <v>140039.77000000002</v>
      </c>
      <c r="H637" s="163">
        <f>SUM(J468)</f>
        <v>140039.76999999999</v>
      </c>
      <c r="I637" s="164" t="s">
        <v>110</v>
      </c>
      <c r="J637" s="151">
        <f t="shared" si="50"/>
        <v>0</v>
      </c>
      <c r="K637" s="85"/>
      <c r="L637" s="166"/>
      <c r="M637" s="8"/>
    </row>
    <row r="638" spans="1:13" s="3" customFormat="1" ht="12.2" customHeight="1" x14ac:dyDescent="0.15">
      <c r="A638" s="160"/>
      <c r="B638" s="161"/>
      <c r="C638" s="161"/>
      <c r="D638" s="161"/>
      <c r="E638" s="161"/>
      <c r="F638" s="162" t="s">
        <v>476</v>
      </c>
      <c r="G638" s="151">
        <f>SUM(L434)</f>
        <v>23298</v>
      </c>
      <c r="H638" s="163">
        <f>SUM(J472)</f>
        <v>23298</v>
      </c>
      <c r="I638" s="164" t="s">
        <v>117</v>
      </c>
      <c r="J638" s="151">
        <f t="shared" si="50"/>
        <v>0</v>
      </c>
      <c r="K638" s="165"/>
      <c r="L638" s="166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195679.06</v>
      </c>
      <c r="H640" s="104">
        <f>SUM(G461)</f>
        <v>195679.06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195679.06</v>
      </c>
      <c r="H642" s="104">
        <f>SUM(I461)</f>
        <v>195679.06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39.770000000000003</v>
      </c>
      <c r="H644" s="104">
        <f>H408</f>
        <v>39.770000000000003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140000</v>
      </c>
      <c r="H645" s="104">
        <f>G408</f>
        <v>140000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140039.76999999999</v>
      </c>
      <c r="H646" s="104">
        <f>L408</f>
        <v>140039.77000000002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391312.98</v>
      </c>
      <c r="H647" s="104">
        <f>L208+L226+L244</f>
        <v>391312.98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38560.78</v>
      </c>
      <c r="H648" s="104">
        <f>(J257+J338)-(J255+J336)</f>
        <v>38560.780000000006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391312.98</v>
      </c>
      <c r="H649" s="104">
        <f>H598</f>
        <v>391312.98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140000</v>
      </c>
      <c r="H655" s="104">
        <f>K266+K347</f>
        <v>140000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8521846.8000000007</v>
      </c>
      <c r="G660" s="19">
        <f>(L229+L309+L359)</f>
        <v>0</v>
      </c>
      <c r="H660" s="19">
        <f>(L247+L328+L360)</f>
        <v>0</v>
      </c>
      <c r="I660" s="19">
        <f>SUM(F660:H660)</f>
        <v>8521846.8000000007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124571.07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124571.07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392649.98</v>
      </c>
      <c r="G662" s="19">
        <f>(L226+L306)-(J226+J306)</f>
        <v>0</v>
      </c>
      <c r="H662" s="19">
        <f>(L244+L325)-(J244+J325)</f>
        <v>0</v>
      </c>
      <c r="I662" s="19">
        <f>SUM(F662:H662)</f>
        <v>392649.98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207932.04</v>
      </c>
      <c r="G663" s="198">
        <f>SUM(G575:G587)+SUM(I602:I604)+L612</f>
        <v>0</v>
      </c>
      <c r="H663" s="198">
        <f>SUM(H575:H587)+SUM(J602:J604)+L613</f>
        <v>0</v>
      </c>
      <c r="I663" s="19">
        <f>SUM(F663:H663)</f>
        <v>207932.04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7796693.7100000009</v>
      </c>
      <c r="G664" s="19">
        <f>G660-SUM(G661:G663)</f>
        <v>0</v>
      </c>
      <c r="H664" s="19">
        <f>H660-SUM(H661:H663)</f>
        <v>0</v>
      </c>
      <c r="I664" s="19">
        <f>I660-SUM(I661:I663)</f>
        <v>7796693.7100000009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6">
        <v>516.82000000000005</v>
      </c>
      <c r="G665" s="247"/>
      <c r="H665" s="247"/>
      <c r="I665" s="19">
        <f>SUM(F665:H665)</f>
        <v>516.82000000000005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15085.9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15085.9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15085.9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15085.9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I11" sqref="I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779</v>
      </c>
      <c r="B1" s="231" t="str">
        <f>'DOE25'!A2</f>
        <v>Brookline School District</v>
      </c>
      <c r="C1" s="237" t="s">
        <v>833</v>
      </c>
    </row>
    <row r="2" spans="1:3" x14ac:dyDescent="0.2">
      <c r="A2" s="232"/>
      <c r="B2" s="231"/>
    </row>
    <row r="3" spans="1:3" x14ac:dyDescent="0.2">
      <c r="A3" s="280" t="s">
        <v>778</v>
      </c>
      <c r="B3" s="280"/>
      <c r="C3" s="280"/>
    </row>
    <row r="4" spans="1:3" x14ac:dyDescent="0.2">
      <c r="A4" s="235"/>
      <c r="B4" s="236" t="str">
        <f>'DOE25'!H1</f>
        <v>DOE 25  2017-2018</v>
      </c>
      <c r="C4" s="235"/>
    </row>
    <row r="5" spans="1:3" x14ac:dyDescent="0.2">
      <c r="A5" s="232"/>
      <c r="B5" s="231"/>
    </row>
    <row r="6" spans="1:3" x14ac:dyDescent="0.2">
      <c r="A6" s="226"/>
      <c r="B6" s="279" t="s">
        <v>777</v>
      </c>
      <c r="C6" s="279"/>
    </row>
    <row r="7" spans="1:3" x14ac:dyDescent="0.2">
      <c r="A7" s="238" t="s">
        <v>780</v>
      </c>
      <c r="B7" s="277" t="s">
        <v>776</v>
      </c>
      <c r="C7" s="278"/>
    </row>
    <row r="8" spans="1:3" x14ac:dyDescent="0.2">
      <c r="B8" s="227" t="s">
        <v>54</v>
      </c>
      <c r="C8" s="227" t="s">
        <v>770</v>
      </c>
    </row>
    <row r="9" spans="1:3" x14ac:dyDescent="0.2">
      <c r="A9" s="33" t="s">
        <v>771</v>
      </c>
      <c r="B9" s="228">
        <f>'DOE25'!F197+'DOE25'!F215+'DOE25'!F233+'DOE25'!F276+'DOE25'!F295+'DOE25'!F314</f>
        <v>2429146.4500000002</v>
      </c>
      <c r="C9" s="228">
        <f>'DOE25'!G197+'DOE25'!G215+'DOE25'!G233+'DOE25'!G276+'DOE25'!G295+'DOE25'!G314</f>
        <v>1183565.73</v>
      </c>
    </row>
    <row r="10" spans="1:3" x14ac:dyDescent="0.2">
      <c r="A10" t="s">
        <v>773</v>
      </c>
      <c r="B10" s="239">
        <v>2229463.58</v>
      </c>
      <c r="C10" s="239">
        <v>1154545.3600000001</v>
      </c>
    </row>
    <row r="11" spans="1:3" x14ac:dyDescent="0.2">
      <c r="A11" t="s">
        <v>774</v>
      </c>
      <c r="B11" s="239">
        <v>87461.34</v>
      </c>
      <c r="C11" s="239">
        <v>15223.44</v>
      </c>
    </row>
    <row r="12" spans="1:3" x14ac:dyDescent="0.2">
      <c r="A12" t="s">
        <v>775</v>
      </c>
      <c r="B12" s="239">
        <f>+B9-B10-B11</f>
        <v>112221.53000000012</v>
      </c>
      <c r="C12" s="239">
        <v>13796.93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2429146.4500000002</v>
      </c>
      <c r="C13" s="230">
        <f>SUM(C10:C12)</f>
        <v>1183565.73</v>
      </c>
    </row>
    <row r="14" spans="1:3" x14ac:dyDescent="0.2">
      <c r="B14" s="229"/>
      <c r="C14" s="229"/>
    </row>
    <row r="15" spans="1:3" x14ac:dyDescent="0.2">
      <c r="B15" s="279" t="s">
        <v>777</v>
      </c>
      <c r="C15" s="279"/>
    </row>
    <row r="16" spans="1:3" x14ac:dyDescent="0.2">
      <c r="A16" s="238" t="s">
        <v>781</v>
      </c>
      <c r="B16" s="277" t="s">
        <v>701</v>
      </c>
      <c r="C16" s="278"/>
    </row>
    <row r="17" spans="1:3" x14ac:dyDescent="0.2">
      <c r="B17" s="227" t="s">
        <v>54</v>
      </c>
      <c r="C17" s="227" t="s">
        <v>770</v>
      </c>
    </row>
    <row r="18" spans="1:3" x14ac:dyDescent="0.2">
      <c r="A18" s="33" t="s">
        <v>771</v>
      </c>
      <c r="B18" s="228">
        <f>'DOE25'!F198+'DOE25'!F216+'DOE25'!F234+'DOE25'!F277+'DOE25'!F296+'DOE25'!F315</f>
        <v>1050755.01</v>
      </c>
      <c r="C18" s="228">
        <f>'DOE25'!G198+'DOE25'!G216+'DOE25'!G234+'DOE25'!G277+'DOE25'!G296+'DOE25'!G315</f>
        <v>351417.29</v>
      </c>
    </row>
    <row r="19" spans="1:3" x14ac:dyDescent="0.2">
      <c r="A19" t="s">
        <v>773</v>
      </c>
      <c r="B19" s="239">
        <v>469123.4</v>
      </c>
      <c r="C19" s="239">
        <v>277163.38</v>
      </c>
    </row>
    <row r="20" spans="1:3" x14ac:dyDescent="0.2">
      <c r="A20" t="s">
        <v>774</v>
      </c>
      <c r="B20" s="239">
        <v>405543.46</v>
      </c>
      <c r="C20" s="239">
        <v>72385.77</v>
      </c>
    </row>
    <row r="21" spans="1:3" x14ac:dyDescent="0.2">
      <c r="A21" t="s">
        <v>775</v>
      </c>
      <c r="B21" s="239">
        <f>+B18-B19-B20</f>
        <v>176088.14999999997</v>
      </c>
      <c r="C21" s="239">
        <f>+C18-C19-C20</f>
        <v>1868.1399999999703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1050755.01</v>
      </c>
      <c r="C22" s="230">
        <f>SUM(C19:C21)</f>
        <v>351417.29</v>
      </c>
    </row>
    <row r="23" spans="1:3" x14ac:dyDescent="0.2">
      <c r="B23" s="229"/>
      <c r="C23" s="229"/>
    </row>
    <row r="24" spans="1:3" x14ac:dyDescent="0.2">
      <c r="B24" s="279" t="s">
        <v>777</v>
      </c>
      <c r="C24" s="279"/>
    </row>
    <row r="25" spans="1:3" x14ac:dyDescent="0.2">
      <c r="A25" s="238" t="s">
        <v>782</v>
      </c>
      <c r="B25" s="277" t="s">
        <v>702</v>
      </c>
      <c r="C25" s="278"/>
    </row>
    <row r="26" spans="1:3" x14ac:dyDescent="0.2">
      <c r="B26" s="227" t="s">
        <v>54</v>
      </c>
      <c r="C26" s="227" t="s">
        <v>770</v>
      </c>
    </row>
    <row r="27" spans="1:3" x14ac:dyDescent="0.2">
      <c r="A27" s="33" t="s">
        <v>771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773</v>
      </c>
      <c r="B28" s="239"/>
      <c r="C28" s="239"/>
    </row>
    <row r="29" spans="1:3" x14ac:dyDescent="0.2">
      <c r="A29" t="s">
        <v>774</v>
      </c>
      <c r="B29" s="239"/>
      <c r="C29" s="239"/>
    </row>
    <row r="30" spans="1:3" x14ac:dyDescent="0.2">
      <c r="A30" t="s">
        <v>775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9" t="s">
        <v>777</v>
      </c>
      <c r="C33" s="279"/>
    </row>
    <row r="34" spans="1:3" x14ac:dyDescent="0.2">
      <c r="A34" s="238" t="s">
        <v>783</v>
      </c>
      <c r="B34" s="277" t="s">
        <v>703</v>
      </c>
      <c r="C34" s="278"/>
    </row>
    <row r="35" spans="1:3" x14ac:dyDescent="0.2">
      <c r="B35" s="227" t="s">
        <v>54</v>
      </c>
      <c r="C35" s="227" t="s">
        <v>770</v>
      </c>
    </row>
    <row r="36" spans="1:3" x14ac:dyDescent="0.2">
      <c r="A36" s="33" t="s">
        <v>771</v>
      </c>
      <c r="B36" s="234">
        <f>'DOE25'!F200+'DOE25'!F218+'DOE25'!F236+'DOE25'!F279+'DOE25'!F298+'DOE25'!F317</f>
        <v>0</v>
      </c>
      <c r="C36" s="234">
        <f>'DOE25'!G200+'DOE25'!G218+'DOE25'!G236+'DOE25'!G279+'DOE25'!G298+'DOE25'!G317</f>
        <v>0</v>
      </c>
    </row>
    <row r="37" spans="1:3" x14ac:dyDescent="0.2">
      <c r="A37" t="s">
        <v>773</v>
      </c>
      <c r="B37" s="239"/>
      <c r="C37" s="239"/>
    </row>
    <row r="38" spans="1:3" x14ac:dyDescent="0.2">
      <c r="A38" t="s">
        <v>774</v>
      </c>
      <c r="B38" s="239"/>
      <c r="C38" s="239"/>
    </row>
    <row r="39" spans="1:3" x14ac:dyDescent="0.2">
      <c r="A39" t="s">
        <v>775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831</v>
      </c>
      <c r="B42" s="229"/>
      <c r="C42" s="229"/>
    </row>
    <row r="43" spans="1:3" x14ac:dyDescent="0.2">
      <c r="A43" t="s">
        <v>835</v>
      </c>
      <c r="B43" s="229"/>
      <c r="C43" s="229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3" t="s">
        <v>772</v>
      </c>
    </row>
    <row r="49" spans="1:1" x14ac:dyDescent="0.2">
      <c r="A49" s="267" t="s">
        <v>838</v>
      </c>
    </row>
    <row r="50" spans="1:1" x14ac:dyDescent="0.2">
      <c r="A50" s="267" t="s">
        <v>832</v>
      </c>
    </row>
    <row r="51" spans="1:1" x14ac:dyDescent="0.2">
      <c r="A51" s="267" t="s">
        <v>839</v>
      </c>
    </row>
    <row r="52" spans="1:1" x14ac:dyDescent="0.2">
      <c r="A52" s="268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784</v>
      </c>
      <c r="B1" s="284"/>
      <c r="C1" s="284"/>
      <c r="D1" s="284"/>
      <c r="E1" s="284"/>
      <c r="F1" s="284"/>
      <c r="G1" s="284"/>
      <c r="H1" s="284"/>
      <c r="I1" s="180"/>
    </row>
    <row r="2" spans="1:9" x14ac:dyDescent="0.2">
      <c r="A2" s="33" t="s">
        <v>711</v>
      </c>
      <c r="B2" s="264" t="str">
        <f>'DOE25'!A2</f>
        <v>Brookline School District</v>
      </c>
      <c r="C2" s="180"/>
      <c r="D2" s="180" t="s">
        <v>786</v>
      </c>
      <c r="E2" s="180" t="s">
        <v>788</v>
      </c>
      <c r="F2" s="281" t="s">
        <v>815</v>
      </c>
      <c r="G2" s="282"/>
      <c r="H2" s="283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787</v>
      </c>
      <c r="E3" s="180" t="s">
        <v>789</v>
      </c>
      <c r="F3" s="240" t="s">
        <v>829</v>
      </c>
      <c r="G3" s="216" t="s">
        <v>59</v>
      </c>
      <c r="H3" s="241" t="s">
        <v>792</v>
      </c>
    </row>
    <row r="4" spans="1:9" x14ac:dyDescent="0.2">
      <c r="A4" s="250" t="s">
        <v>794</v>
      </c>
      <c r="B4" s="250" t="s">
        <v>810</v>
      </c>
      <c r="C4" s="250" t="s">
        <v>785</v>
      </c>
      <c r="D4" s="250" t="s">
        <v>811</v>
      </c>
      <c r="E4" s="250" t="s">
        <v>811</v>
      </c>
      <c r="F4" s="249" t="s">
        <v>791</v>
      </c>
      <c r="G4" s="250" t="s">
        <v>805</v>
      </c>
      <c r="H4" s="251" t="s">
        <v>793</v>
      </c>
    </row>
    <row r="5" spans="1:9" x14ac:dyDescent="0.2">
      <c r="A5" s="32">
        <v>1000</v>
      </c>
      <c r="B5" t="s">
        <v>195</v>
      </c>
      <c r="C5" s="244">
        <f t="shared" ref="C5:C19" si="0">SUM(D5:H5)</f>
        <v>5117940.4000000004</v>
      </c>
      <c r="D5" s="20">
        <f>SUM('DOE25'!L197:L200)+SUM('DOE25'!L215:L218)+SUM('DOE25'!L233:L236)-F5-G5</f>
        <v>5107851.12</v>
      </c>
      <c r="E5" s="242"/>
      <c r="F5" s="254">
        <f>SUM('DOE25'!J197:J200)+SUM('DOE25'!J215:J218)+SUM('DOE25'!J233:J236)</f>
        <v>9641.7000000000007</v>
      </c>
      <c r="G5" s="53">
        <f>SUM('DOE25'!K197:K200)+SUM('DOE25'!K215:K218)+SUM('DOE25'!K233:K236)</f>
        <v>447.58</v>
      </c>
      <c r="H5" s="258"/>
    </row>
    <row r="6" spans="1:9" x14ac:dyDescent="0.2">
      <c r="A6" s="32">
        <v>2100</v>
      </c>
      <c r="B6" t="s">
        <v>795</v>
      </c>
      <c r="C6" s="244">
        <f t="shared" si="0"/>
        <v>786052.78999999992</v>
      </c>
      <c r="D6" s="20">
        <f>'DOE25'!L202+'DOE25'!L220+'DOE25'!L238-F6-G6</f>
        <v>785060.61999999988</v>
      </c>
      <c r="E6" s="242"/>
      <c r="F6" s="254">
        <f>'DOE25'!J202+'DOE25'!J220+'DOE25'!J238</f>
        <v>992.17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828</v>
      </c>
      <c r="C7" s="244">
        <f t="shared" si="0"/>
        <v>259798.93999999997</v>
      </c>
      <c r="D7" s="20">
        <f>'DOE25'!L203+'DOE25'!L221+'DOE25'!L239-F7-G7</f>
        <v>243472.61</v>
      </c>
      <c r="E7" s="242"/>
      <c r="F7" s="254">
        <f>'DOE25'!J203+'DOE25'!J221+'DOE25'!J239</f>
        <v>16326.33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796</v>
      </c>
      <c r="C8" s="244">
        <f t="shared" si="0"/>
        <v>198117.06999999995</v>
      </c>
      <c r="D8" s="242"/>
      <c r="E8" s="20">
        <f>'DOE25'!L204+'DOE25'!L222+'DOE25'!L240-F8-G8-D9-D11</f>
        <v>198117.06999999995</v>
      </c>
      <c r="F8" s="254">
        <f>'DOE25'!J204+'DOE25'!J222+'DOE25'!J240</f>
        <v>0</v>
      </c>
      <c r="G8" s="53">
        <f>'DOE25'!K204+'DOE25'!K222+'DOE25'!K240</f>
        <v>0</v>
      </c>
      <c r="H8" s="258"/>
    </row>
    <row r="9" spans="1:9" x14ac:dyDescent="0.2">
      <c r="A9" s="32">
        <v>2310</v>
      </c>
      <c r="B9" t="s">
        <v>812</v>
      </c>
      <c r="C9" s="244">
        <f t="shared" si="0"/>
        <v>41937.96</v>
      </c>
      <c r="D9" s="243">
        <v>41937.96</v>
      </c>
      <c r="E9" s="242"/>
      <c r="F9" s="257"/>
      <c r="G9" s="255"/>
      <c r="H9" s="258"/>
    </row>
    <row r="10" spans="1:9" x14ac:dyDescent="0.2">
      <c r="A10" s="32">
        <v>2317</v>
      </c>
      <c r="B10" t="s">
        <v>813</v>
      </c>
      <c r="C10" s="244">
        <f t="shared" si="0"/>
        <v>8650</v>
      </c>
      <c r="D10" s="242"/>
      <c r="E10" s="243">
        <v>8650</v>
      </c>
      <c r="F10" s="257"/>
      <c r="G10" s="255"/>
      <c r="H10" s="258"/>
    </row>
    <row r="11" spans="1:9" x14ac:dyDescent="0.2">
      <c r="A11" s="32">
        <v>2321</v>
      </c>
      <c r="B11" t="s">
        <v>825</v>
      </c>
      <c r="C11" s="244">
        <f t="shared" si="0"/>
        <v>72933.89</v>
      </c>
      <c r="D11" s="243">
        <v>72933.89</v>
      </c>
      <c r="E11" s="242"/>
      <c r="F11" s="257"/>
      <c r="G11" s="255"/>
      <c r="H11" s="258"/>
    </row>
    <row r="12" spans="1:9" x14ac:dyDescent="0.2">
      <c r="A12" s="32">
        <v>2400</v>
      </c>
      <c r="B12" t="s">
        <v>709</v>
      </c>
      <c r="C12" s="244">
        <f t="shared" si="0"/>
        <v>555131.52000000014</v>
      </c>
      <c r="D12" s="20">
        <f>'DOE25'!L205+'DOE25'!L223+'DOE25'!L241-F12-G12</f>
        <v>552215.44000000006</v>
      </c>
      <c r="E12" s="242"/>
      <c r="F12" s="254">
        <f>'DOE25'!J205+'DOE25'!J223+'DOE25'!J241</f>
        <v>1741.92</v>
      </c>
      <c r="G12" s="53">
        <f>'DOE25'!K205+'DOE25'!K223+'DOE25'!K241</f>
        <v>1174.1600000000001</v>
      </c>
      <c r="H12" s="258"/>
    </row>
    <row r="13" spans="1:9" x14ac:dyDescent="0.2">
      <c r="A13" s="32">
        <v>2500</v>
      </c>
      <c r="B13" t="s">
        <v>797</v>
      </c>
      <c r="C13" s="244">
        <f t="shared" si="0"/>
        <v>750.13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750.13</v>
      </c>
      <c r="H13" s="258"/>
    </row>
    <row r="14" spans="1:9" x14ac:dyDescent="0.2">
      <c r="A14" s="32">
        <v>2600</v>
      </c>
      <c r="B14" t="s">
        <v>826</v>
      </c>
      <c r="C14" s="244">
        <f t="shared" si="0"/>
        <v>705948.85</v>
      </c>
      <c r="D14" s="20">
        <f>'DOE25'!L207+'DOE25'!L225+'DOE25'!L243-F14-G14</f>
        <v>698708.65</v>
      </c>
      <c r="E14" s="242"/>
      <c r="F14" s="254">
        <f>'DOE25'!J207+'DOE25'!J225+'DOE25'!J243</f>
        <v>2981.2</v>
      </c>
      <c r="G14" s="53">
        <f>'DOE25'!K207+'DOE25'!K225+'DOE25'!K243</f>
        <v>4259</v>
      </c>
      <c r="H14" s="258"/>
    </row>
    <row r="15" spans="1:9" x14ac:dyDescent="0.2">
      <c r="A15" s="32">
        <v>2700</v>
      </c>
      <c r="B15" t="s">
        <v>798</v>
      </c>
      <c r="C15" s="244">
        <f t="shared" si="0"/>
        <v>391312.98</v>
      </c>
      <c r="D15" s="20">
        <f>'DOE25'!L208+'DOE25'!L226+'DOE25'!L244-F15-G15</f>
        <v>391312.98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799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800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801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802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790</v>
      </c>
      <c r="F21" s="259"/>
      <c r="G21" s="52"/>
      <c r="H21" s="260"/>
    </row>
    <row r="22" spans="1:8" x14ac:dyDescent="0.2">
      <c r="A22" s="32">
        <v>4000</v>
      </c>
      <c r="B22" t="s">
        <v>827</v>
      </c>
      <c r="C22" s="244">
        <f>SUM(D22:H22)</f>
        <v>24885</v>
      </c>
      <c r="D22" s="242"/>
      <c r="E22" s="242"/>
      <c r="F22" s="254">
        <f>'DOE25'!L255+'DOE25'!L336</f>
        <v>24885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461</v>
      </c>
      <c r="F24" s="259"/>
      <c r="G24" s="52"/>
      <c r="H24" s="260"/>
    </row>
    <row r="25" spans="1:8" x14ac:dyDescent="0.2">
      <c r="A25" s="32" t="s">
        <v>803</v>
      </c>
      <c r="B25" t="s">
        <v>804</v>
      </c>
      <c r="C25" s="244">
        <f>SUM(D25:H25)</f>
        <v>480324.99</v>
      </c>
      <c r="D25" s="242"/>
      <c r="E25" s="242"/>
      <c r="F25" s="257"/>
      <c r="G25" s="255"/>
      <c r="H25" s="256">
        <f>'DOE25'!L260+'DOE25'!L261+'DOE25'!L341+'DOE25'!L342</f>
        <v>480324.99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806</v>
      </c>
      <c r="F27" s="259"/>
      <c r="G27" s="52"/>
      <c r="H27" s="260"/>
    </row>
    <row r="28" spans="1:8" x14ac:dyDescent="0.2">
      <c r="A28" s="32">
        <v>3100</v>
      </c>
      <c r="B28" t="s">
        <v>819</v>
      </c>
      <c r="F28" s="259"/>
      <c r="G28" s="52"/>
      <c r="H28" s="260"/>
    </row>
    <row r="29" spans="1:8" x14ac:dyDescent="0.2">
      <c r="A29" s="32"/>
      <c r="B29" t="s">
        <v>807</v>
      </c>
      <c r="C29" s="244">
        <f>SUM(D29:H29)</f>
        <v>105370.41999999998</v>
      </c>
      <c r="D29" s="20">
        <f>'DOE25'!L358+'DOE25'!L359+'DOE25'!L360-'DOE25'!I367-F29-G29</f>
        <v>88336.419999999984</v>
      </c>
      <c r="E29" s="242"/>
      <c r="F29" s="254">
        <f>'DOE25'!J358+'DOE25'!J359+'DOE25'!J360</f>
        <v>16834</v>
      </c>
      <c r="G29" s="53">
        <f>'DOE25'!K358+'DOE25'!K359+'DOE25'!K360</f>
        <v>200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821</v>
      </c>
      <c r="B31" t="s">
        <v>820</v>
      </c>
      <c r="C31" s="244">
        <f>SUM(D31:H31)</f>
        <v>219565.66</v>
      </c>
      <c r="D31" s="20">
        <f>'DOE25'!L290+'DOE25'!L309+'DOE25'!L328+'DOE25'!L333+'DOE25'!L334+'DOE25'!L335-F31-G31</f>
        <v>212688.2</v>
      </c>
      <c r="E31" s="242"/>
      <c r="F31" s="254">
        <f>'DOE25'!J290+'DOE25'!J309+'DOE25'!J328+'DOE25'!J333+'DOE25'!J334+'DOE25'!J335</f>
        <v>6877.46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808</v>
      </c>
      <c r="D33" s="245">
        <f>SUM(D5:D31)</f>
        <v>8194517.8900000015</v>
      </c>
      <c r="E33" s="245">
        <f>SUM(E5:E31)</f>
        <v>206767.06999999995</v>
      </c>
      <c r="F33" s="245">
        <f>SUM(F5:F31)</f>
        <v>80279.780000000013</v>
      </c>
      <c r="G33" s="245">
        <f>SUM(G5:G31)</f>
        <v>6830.87</v>
      </c>
      <c r="H33" s="245">
        <f>SUM(H5:H31)</f>
        <v>480324.99</v>
      </c>
    </row>
    <row r="35" spans="2:8" ht="12" thickBot="1" x14ac:dyDescent="0.25">
      <c r="B35" s="252" t="s">
        <v>841</v>
      </c>
      <c r="D35" s="253">
        <f>E33</f>
        <v>206767.06999999995</v>
      </c>
      <c r="E35" s="248"/>
    </row>
    <row r="36" spans="2:8" ht="12" thickTop="1" x14ac:dyDescent="0.2">
      <c r="B36" t="s">
        <v>809</v>
      </c>
      <c r="D36" s="20">
        <f>D33</f>
        <v>8194517.8900000015</v>
      </c>
    </row>
    <row r="38" spans="2:8" x14ac:dyDescent="0.2">
      <c r="B38" s="186" t="s">
        <v>908</v>
      </c>
      <c r="C38" s="265"/>
      <c r="D38" s="266"/>
    </row>
    <row r="39" spans="2:8" x14ac:dyDescent="0.2">
      <c r="B39" t="s">
        <v>818</v>
      </c>
      <c r="D39" s="180" t="str">
        <f>IF(E10&gt;0,"Y","N")</f>
        <v>Y</v>
      </c>
    </row>
    <row r="41" spans="2:8" x14ac:dyDescent="0.2">
      <c r="B41" s="263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J47" sqref="J4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185065.74</v>
      </c>
      <c r="D8" s="95">
        <f>'DOE25'!G9</f>
        <v>39241.910000000003</v>
      </c>
      <c r="E8" s="95">
        <f>'DOE25'!H9</f>
        <v>39163.46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395.58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513.66</v>
      </c>
      <c r="D12" s="95">
        <f>'DOE25'!G13</f>
        <v>5592.29</v>
      </c>
      <c r="E12" s="95">
        <f>'DOE25'!H13</f>
        <v>119152.82</v>
      </c>
      <c r="F12" s="95">
        <f>'DOE25'!I13</f>
        <v>0</v>
      </c>
      <c r="G12" s="95">
        <f>'DOE25'!J13</f>
        <v>195679.06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43027.24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7097.55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15441.71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244443.92999999996</v>
      </c>
      <c r="D18" s="41">
        <f>SUM(D8:D17)</f>
        <v>51931.750000000007</v>
      </c>
      <c r="E18" s="41">
        <f>SUM(E8:E17)</f>
        <v>158316.28</v>
      </c>
      <c r="F18" s="41">
        <f>SUM(F8:F17)</f>
        <v>0</v>
      </c>
      <c r="G18" s="41">
        <f>SUM(G8:G17)</f>
        <v>195679.06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-124665.82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55225.21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427.62</v>
      </c>
      <c r="D22" s="95">
        <f>'DOE25'!G23</f>
        <v>69.17</v>
      </c>
      <c r="E22" s="95">
        <f>'DOE25'!H23</f>
        <v>111025.36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50949.18</v>
      </c>
      <c r="D23" s="95">
        <f>'DOE25'!G24</f>
        <v>1451.54</v>
      </c>
      <c r="E23" s="95">
        <f>'DOE25'!H24</f>
        <v>7171.08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50245.19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17091.39</v>
      </c>
      <c r="D29" s="95">
        <f>'DOE25'!G30</f>
        <v>11655.17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-5952.4300000000185</v>
      </c>
      <c r="D31" s="41">
        <f>SUM(D21:D30)</f>
        <v>13175.880000000001</v>
      </c>
      <c r="E31" s="41">
        <f>SUM(E21:E30)</f>
        <v>118196.44</v>
      </c>
      <c r="F31" s="41">
        <f>SUM(F21:F30)</f>
        <v>0</v>
      </c>
      <c r="G31" s="41">
        <f>SUM(G21:G30)</f>
        <v>55225.21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7098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15441.71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31657.87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40119.839999999997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125000</v>
      </c>
      <c r="D43" s="95">
        <f>'DOE25'!G44</f>
        <v>0</v>
      </c>
      <c r="E43" s="95" t="str">
        <f>'DOE25'!H44</f>
        <v xml:space="preserve"> 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140453.85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39237.79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70716.86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250396.36</v>
      </c>
      <c r="D50" s="41">
        <f>SUM(D34:D49)</f>
        <v>38755.869999999995</v>
      </c>
      <c r="E50" s="41">
        <f>SUM(E34:E49)</f>
        <v>40119.839999999997</v>
      </c>
      <c r="F50" s="41">
        <f>SUM(F34:F49)</f>
        <v>0</v>
      </c>
      <c r="G50" s="41">
        <f>SUM(G34:G49)</f>
        <v>140453.85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244443.92999999996</v>
      </c>
      <c r="D51" s="41">
        <f>D50+D31</f>
        <v>51931.75</v>
      </c>
      <c r="E51" s="41">
        <f>E50+E31</f>
        <v>158316.28</v>
      </c>
      <c r="F51" s="41">
        <f>F50+F31</f>
        <v>0</v>
      </c>
      <c r="G51" s="41">
        <f>G50+G31</f>
        <v>195679.06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5887039.2400000002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237172.47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5463.72</v>
      </c>
      <c r="D59" s="95">
        <f>'DOE25'!G96</f>
        <v>2.16</v>
      </c>
      <c r="E59" s="95">
        <f>'DOE25'!H96</f>
        <v>0</v>
      </c>
      <c r="F59" s="95">
        <f>'DOE25'!I96</f>
        <v>0</v>
      </c>
      <c r="G59" s="95">
        <f>'DOE25'!J96</f>
        <v>39.770000000000003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124571.07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21914.87</v>
      </c>
      <c r="D61" s="95">
        <f>SUM('DOE25'!G98:G110)</f>
        <v>0</v>
      </c>
      <c r="E61" s="95">
        <f>SUM('DOE25'!H98:H110)</f>
        <v>22069.5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264551.06</v>
      </c>
      <c r="D62" s="130">
        <f>SUM(D57:D61)</f>
        <v>124573.23000000001</v>
      </c>
      <c r="E62" s="130">
        <f>SUM(E57:E61)</f>
        <v>22069.5</v>
      </c>
      <c r="F62" s="130">
        <f>SUM(F57:F61)</f>
        <v>0</v>
      </c>
      <c r="G62" s="130">
        <f>SUM(G57:G61)</f>
        <v>39.770000000000003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6151590.2999999998</v>
      </c>
      <c r="D63" s="22">
        <f>D56+D62</f>
        <v>124573.23000000001</v>
      </c>
      <c r="E63" s="22">
        <f>E56+E62</f>
        <v>22069.5</v>
      </c>
      <c r="F63" s="22">
        <f>F56+F62</f>
        <v>0</v>
      </c>
      <c r="G63" s="22">
        <f>G56+G62</f>
        <v>39.770000000000003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1822440.5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546979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2090.31</v>
      </c>
      <c r="D69" s="95">
        <f>'DOE25'!G120</f>
        <v>0</v>
      </c>
      <c r="E69" s="95">
        <f>'DOE25'!H120</f>
        <v>6877.46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2371509.81</v>
      </c>
      <c r="D70" s="139">
        <f>D69</f>
        <v>0</v>
      </c>
      <c r="E70" s="139">
        <f>E69</f>
        <v>6877.46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49649.5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16774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2184.1799999999998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66423.5</v>
      </c>
      <c r="D78" s="130">
        <f>SUM(D72:D77)</f>
        <v>2184.1799999999998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2437933.31</v>
      </c>
      <c r="D81" s="130">
        <f>SUM(D79:D80)+D78+D70</f>
        <v>2184.1799999999998</v>
      </c>
      <c r="E81" s="130">
        <f>SUM(E79:E80)+E78+E70</f>
        <v>6877.46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19255.45</v>
      </c>
      <c r="D88" s="95">
        <f>SUM('DOE25'!G153:G161)</f>
        <v>36883.17</v>
      </c>
      <c r="E88" s="95">
        <f>SUM('DOE25'!H153:H161)</f>
        <v>197462.15000000002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19255.45</v>
      </c>
      <c r="D91" s="131">
        <f>SUM(D85:D90)</f>
        <v>36883.17</v>
      </c>
      <c r="E91" s="131">
        <f>SUM(E85:E90)</f>
        <v>197462.15000000002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140000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140000</v>
      </c>
    </row>
    <row r="104" spans="1:7" ht="12.75" thickTop="1" thickBot="1" x14ac:dyDescent="0.25">
      <c r="A104" s="33" t="s">
        <v>759</v>
      </c>
      <c r="C104" s="86">
        <f>C63+C81+C91+C103</f>
        <v>8608779.0599999987</v>
      </c>
      <c r="D104" s="86">
        <f>D63+D81+D91+D103</f>
        <v>163640.58000000002</v>
      </c>
      <c r="E104" s="86">
        <f>E63+E81+E91+E103</f>
        <v>226409.11000000002</v>
      </c>
      <c r="F104" s="86">
        <f>F63+F81+F91+F103</f>
        <v>0</v>
      </c>
      <c r="G104" s="86">
        <f>G63+G81+G103</f>
        <v>140039.76999999999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3653081.7</v>
      </c>
      <c r="D109" s="24" t="s">
        <v>286</v>
      </c>
      <c r="E109" s="95">
        <f>('DOE25'!L276)+('DOE25'!L295)+('DOE25'!L314)</f>
        <v>40599.79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1464858.7</v>
      </c>
      <c r="D110" s="24" t="s">
        <v>286</v>
      </c>
      <c r="E110" s="95">
        <f>('DOE25'!L277)+('DOE25'!L296)+('DOE25'!L315)</f>
        <v>154968.26999999999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5117940.4000000004</v>
      </c>
      <c r="D115" s="86">
        <f>SUM(D109:D114)</f>
        <v>0</v>
      </c>
      <c r="E115" s="86">
        <f>SUM(E109:E114)</f>
        <v>195568.06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786052.78999999992</v>
      </c>
      <c r="D118" s="24" t="s">
        <v>286</v>
      </c>
      <c r="E118" s="95">
        <f>+('DOE25'!L281)+('DOE25'!L300)+('DOE25'!L319)</f>
        <v>8120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259798.93999999997</v>
      </c>
      <c r="D119" s="24" t="s">
        <v>286</v>
      </c>
      <c r="E119" s="95">
        <f>+('DOE25'!L282)+('DOE25'!L301)+('DOE25'!L320)</f>
        <v>7663.14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312988.92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555131.52000000014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750.13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705948.85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391312.98</v>
      </c>
      <c r="D124" s="24" t="s">
        <v>286</v>
      </c>
      <c r="E124" s="95">
        <f>+('DOE25'!L287)+('DOE25'!L306)+('DOE25'!L325)</f>
        <v>8214.4599999999991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172356.61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3011984.13</v>
      </c>
      <c r="D128" s="86">
        <f>SUM(D118:D127)</f>
        <v>172356.61</v>
      </c>
      <c r="E128" s="86">
        <f>SUM(E118:E127)</f>
        <v>23997.599999999999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24885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205169.13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275155.86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1038.49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140039.77000000002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-39.770000000018626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645209.99</v>
      </c>
      <c r="D144" s="141">
        <f>SUM(D130:D143)</f>
        <v>0</v>
      </c>
      <c r="E144" s="141">
        <f>SUM(E130:E143)</f>
        <v>1038.49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8775134.5199999996</v>
      </c>
      <c r="D145" s="86">
        <f>(D115+D128+D144)</f>
        <v>172356.61</v>
      </c>
      <c r="E145" s="86">
        <f>(E115+E128+E144)</f>
        <v>220604.15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8/12</v>
      </c>
      <c r="C152" s="152" t="str">
        <f>'DOE25'!G491</f>
        <v>8/99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8/22</v>
      </c>
      <c r="C153" s="152" t="str">
        <f>'DOE25'!G492</f>
        <v>8/19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408500</v>
      </c>
      <c r="C154" s="137">
        <f>'DOE25'!G493</f>
        <v>5367912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2.3199999999999998</v>
      </c>
      <c r="C155" s="137">
        <f>'DOE25'!G494</f>
        <v>5.2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225000</v>
      </c>
      <c r="C156" s="137">
        <f>'DOE25'!G495</f>
        <v>469948.18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694948.17999999993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165169.13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205169.13</v>
      </c>
    </row>
    <row r="159" spans="1:9" x14ac:dyDescent="0.2">
      <c r="A159" s="22" t="s">
        <v>35</v>
      </c>
      <c r="B159" s="137">
        <f>'DOE25'!F498</f>
        <v>185000</v>
      </c>
      <c r="C159" s="137">
        <f>'DOE25'!G498</f>
        <v>304779.05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489779.05</v>
      </c>
    </row>
    <row r="160" spans="1:9" x14ac:dyDescent="0.2">
      <c r="A160" s="22" t="s">
        <v>36</v>
      </c>
      <c r="B160" s="137">
        <f>'DOE25'!F499</f>
        <v>17150</v>
      </c>
      <c r="C160" s="137">
        <f>'DOE25'!G499</f>
        <v>558795.94999999995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575945.94999999995</v>
      </c>
    </row>
    <row r="161" spans="1:7" x14ac:dyDescent="0.2">
      <c r="A161" s="22" t="s">
        <v>37</v>
      </c>
      <c r="B161" s="137">
        <f>'DOE25'!F500</f>
        <v>202150</v>
      </c>
      <c r="C161" s="137">
        <f>'DOE25'!G500</f>
        <v>863575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1065725</v>
      </c>
    </row>
    <row r="162" spans="1:7" x14ac:dyDescent="0.2">
      <c r="A162" s="22" t="s">
        <v>38</v>
      </c>
      <c r="B162" s="137">
        <f>'DOE25'!F501</f>
        <v>40000</v>
      </c>
      <c r="C162" s="137">
        <f>'DOE25'!G501</f>
        <v>156525.72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196525.72</v>
      </c>
    </row>
    <row r="163" spans="1:7" x14ac:dyDescent="0.2">
      <c r="A163" s="22" t="s">
        <v>39</v>
      </c>
      <c r="B163" s="137">
        <f>'DOE25'!F502</f>
        <v>6100</v>
      </c>
      <c r="C163" s="137">
        <f>'DOE25'!G502</f>
        <v>276024.28000000003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282124.28000000003</v>
      </c>
    </row>
    <row r="164" spans="1:7" x14ac:dyDescent="0.2">
      <c r="A164" s="22" t="s">
        <v>246</v>
      </c>
      <c r="B164" s="137">
        <f>'DOE25'!F503</f>
        <v>46100</v>
      </c>
      <c r="C164" s="137">
        <f>'DOE25'!G503</f>
        <v>432550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478650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734</v>
      </c>
      <c r="B1" s="285"/>
      <c r="C1" s="285"/>
      <c r="D1" s="285"/>
    </row>
    <row r="2" spans="1:4" x14ac:dyDescent="0.2">
      <c r="A2" s="186" t="s">
        <v>711</v>
      </c>
      <c r="B2" s="185" t="str">
        <f>'DOE25'!A2</f>
        <v>Brookline School District</v>
      </c>
    </row>
    <row r="3" spans="1:4" x14ac:dyDescent="0.2">
      <c r="B3" s="187" t="s">
        <v>909</v>
      </c>
    </row>
    <row r="4" spans="1:4" x14ac:dyDescent="0.2">
      <c r="B4" t="s">
        <v>61</v>
      </c>
      <c r="C4" s="178">
        <f>IF('DOE25'!F665+'DOE25'!F670=0,0,ROUND('DOE25'!F672,0))</f>
        <v>15086</v>
      </c>
    </row>
    <row r="5" spans="1:4" x14ac:dyDescent="0.2">
      <c r="B5" t="s">
        <v>698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699</v>
      </c>
      <c r="C7" s="178">
        <f>IF('DOE25'!I665+'DOE25'!I670=0,0,ROUND('DOE25'!I672,0))</f>
        <v>15086</v>
      </c>
    </row>
    <row r="9" spans="1:4" x14ac:dyDescent="0.2">
      <c r="A9" s="186" t="s">
        <v>94</v>
      </c>
      <c r="B9" s="187" t="s">
        <v>910</v>
      </c>
      <c r="C9" s="180" t="s">
        <v>718</v>
      </c>
      <c r="D9" s="180" t="s">
        <v>719</v>
      </c>
    </row>
    <row r="10" spans="1:4" x14ac:dyDescent="0.2">
      <c r="A10">
        <v>1100</v>
      </c>
      <c r="B10" t="s">
        <v>700</v>
      </c>
      <c r="C10" s="178">
        <f>ROUND('DOE25'!L197+'DOE25'!L215+'DOE25'!L233+'DOE25'!L276+'DOE25'!L295+'DOE25'!L314,0)</f>
        <v>3693681</v>
      </c>
      <c r="D10" s="181">
        <f>ROUND((C10/$C$28)*100,1)</f>
        <v>42.6</v>
      </c>
    </row>
    <row r="11" spans="1:4" x14ac:dyDescent="0.2">
      <c r="A11">
        <v>1200</v>
      </c>
      <c r="B11" t="s">
        <v>701</v>
      </c>
      <c r="C11" s="178">
        <f>ROUND('DOE25'!L198+'DOE25'!L216+'DOE25'!L234+'DOE25'!L277+'DOE25'!L296+'DOE25'!L315,0)</f>
        <v>1619827</v>
      </c>
      <c r="D11" s="181">
        <f>ROUND((C11/$C$28)*100,1)</f>
        <v>18.7</v>
      </c>
    </row>
    <row r="12" spans="1:4" x14ac:dyDescent="0.2">
      <c r="A12">
        <v>1300</v>
      </c>
      <c r="B12" t="s">
        <v>702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703</v>
      </c>
      <c r="C13" s="178">
        <f>ROUND('DOE25'!L200+'DOE25'!L218+'DOE25'!L236+'DOE25'!L279+'DOE25'!L298+'DOE25'!L317,0)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704</v>
      </c>
      <c r="C15" s="178">
        <f>ROUND('DOE25'!L202+'DOE25'!L220+'DOE25'!L238+'DOE25'!L281+'DOE25'!L300+'DOE25'!L319,0)</f>
        <v>794173</v>
      </c>
      <c r="D15" s="181">
        <f t="shared" ref="D15:D27" si="0">ROUND((C15/$C$28)*100,1)</f>
        <v>9.1999999999999993</v>
      </c>
    </row>
    <row r="16" spans="1:4" x14ac:dyDescent="0.2">
      <c r="A16">
        <v>2200</v>
      </c>
      <c r="B16" t="s">
        <v>705</v>
      </c>
      <c r="C16" s="178">
        <f>ROUND('DOE25'!L203+'DOE25'!L221+'DOE25'!L239+'DOE25'!L282+'DOE25'!L301+'DOE25'!L320,0)</f>
        <v>267462</v>
      </c>
      <c r="D16" s="181">
        <f t="shared" si="0"/>
        <v>3.1</v>
      </c>
    </row>
    <row r="17" spans="1:4" x14ac:dyDescent="0.2">
      <c r="A17" s="182" t="s">
        <v>721</v>
      </c>
      <c r="B17" t="s">
        <v>736</v>
      </c>
      <c r="C17" s="178">
        <f>ROUND('DOE25'!L204+'DOE25'!L209+'DOE25'!L222+'DOE25'!L227+'DOE25'!L240+'DOE25'!L245+'DOE25'!L283+'DOE25'!L288+'DOE25'!L302+'DOE25'!L307+'DOE25'!L321+'DOE25'!L326,0)</f>
        <v>312989</v>
      </c>
      <c r="D17" s="181">
        <f t="shared" si="0"/>
        <v>3.6</v>
      </c>
    </row>
    <row r="18" spans="1:4" x14ac:dyDescent="0.2">
      <c r="A18">
        <v>2400</v>
      </c>
      <c r="B18" t="s">
        <v>709</v>
      </c>
      <c r="C18" s="178">
        <f>ROUND('DOE25'!L205+'DOE25'!L223+'DOE25'!L241+'DOE25'!L284+'DOE25'!L303+'DOE25'!L322,0)</f>
        <v>555132</v>
      </c>
      <c r="D18" s="181">
        <f t="shared" si="0"/>
        <v>6.4</v>
      </c>
    </row>
    <row r="19" spans="1:4" x14ac:dyDescent="0.2">
      <c r="A19">
        <v>2500</v>
      </c>
      <c r="B19" t="s">
        <v>706</v>
      </c>
      <c r="C19" s="178">
        <f>ROUND('DOE25'!L206+'DOE25'!L224+'DOE25'!L242+'DOE25'!L285+'DOE25'!L304+'DOE25'!L323,0)</f>
        <v>750</v>
      </c>
      <c r="D19" s="181">
        <f t="shared" si="0"/>
        <v>0</v>
      </c>
    </row>
    <row r="20" spans="1:4" x14ac:dyDescent="0.2">
      <c r="A20">
        <v>2600</v>
      </c>
      <c r="B20" t="s">
        <v>707</v>
      </c>
      <c r="C20" s="178">
        <f>ROUND('DOE25'!L207+'DOE25'!L225+'DOE25'!L243+'DOE25'!L286+'DOE25'!L305+'DOE25'!L324,0)</f>
        <v>705949</v>
      </c>
      <c r="D20" s="181">
        <f t="shared" si="0"/>
        <v>8.1</v>
      </c>
    </row>
    <row r="21" spans="1:4" x14ac:dyDescent="0.2">
      <c r="A21">
        <v>2700</v>
      </c>
      <c r="B21" t="s">
        <v>708</v>
      </c>
      <c r="C21" s="178">
        <f>ROUND('DOE25'!L208+'DOE25'!L226+'DOE25'!L244+'DOE25'!L287+'DOE25'!L306+'DOE25'!L325,0)</f>
        <v>399527</v>
      </c>
      <c r="D21" s="181">
        <f t="shared" si="0"/>
        <v>4.5999999999999996</v>
      </c>
    </row>
    <row r="22" spans="1:4" x14ac:dyDescent="0.2">
      <c r="A22">
        <v>2900</v>
      </c>
      <c r="B22" t="s">
        <v>710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712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720</v>
      </c>
      <c r="B24" t="s">
        <v>713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714</v>
      </c>
      <c r="C25" s="178">
        <f>ROUND('DOE25'!L261+'DOE25'!L342,0)</f>
        <v>275156</v>
      </c>
      <c r="D25" s="181">
        <f t="shared" si="0"/>
        <v>3.2</v>
      </c>
    </row>
    <row r="26" spans="1:4" x14ac:dyDescent="0.2">
      <c r="A26" s="182" t="s">
        <v>715</v>
      </c>
      <c r="B26" t="s">
        <v>716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47785.929999999993</v>
      </c>
      <c r="D27" s="181">
        <f t="shared" si="0"/>
        <v>0.6</v>
      </c>
    </row>
    <row r="28" spans="1:4" x14ac:dyDescent="0.2">
      <c r="B28" s="186" t="s">
        <v>717</v>
      </c>
      <c r="C28" s="179">
        <f>SUM(C10:C27)</f>
        <v>8672431.9299999997</v>
      </c>
      <c r="D28" s="183">
        <f>ROUND(SUM(D10:D27),0)</f>
        <v>100</v>
      </c>
    </row>
    <row r="29" spans="1:4" x14ac:dyDescent="0.2">
      <c r="A29">
        <v>4000</v>
      </c>
      <c r="B29" t="s">
        <v>722</v>
      </c>
      <c r="C29" s="178">
        <f>ROUND('DOE25'!L255+'DOE25'!L336+'DOE25'!L374+'DOE25'!L375+'DOE25'!L376+'DOE25'!L377+'DOE25'!L378+'DOE25'!L379+'DOE25'!L380,0)</f>
        <v>24885</v>
      </c>
    </row>
    <row r="30" spans="1:4" x14ac:dyDescent="0.2">
      <c r="B30" s="186" t="s">
        <v>723</v>
      </c>
      <c r="C30" s="179">
        <f>SUM(C28:C29)</f>
        <v>8697316.9299999997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724</v>
      </c>
      <c r="C32" s="179">
        <f>ROUND('DOE25'!L260+'DOE25'!L341,0)</f>
        <v>205169</v>
      </c>
    </row>
    <row r="34" spans="1:4" x14ac:dyDescent="0.2">
      <c r="A34" s="186" t="s">
        <v>94</v>
      </c>
      <c r="B34" s="187" t="s">
        <v>911</v>
      </c>
      <c r="C34" s="180" t="s">
        <v>718</v>
      </c>
      <c r="D34" s="180" t="s">
        <v>719</v>
      </c>
    </row>
    <row r="35" spans="1:4" x14ac:dyDescent="0.2">
      <c r="A35">
        <v>1100</v>
      </c>
      <c r="B35" s="184" t="s">
        <v>725</v>
      </c>
      <c r="C35" s="178">
        <f>ROUND('DOE25'!F60+'DOE25'!G60+'DOE25'!H60+'DOE25'!I60+'DOE25'!J60,0)</f>
        <v>5887039</v>
      </c>
      <c r="D35" s="181">
        <f t="shared" ref="D35:D40" si="1">ROUND((C35/$C$41)*100,1)</f>
        <v>66.3</v>
      </c>
    </row>
    <row r="36" spans="1:4" x14ac:dyDescent="0.2">
      <c r="B36" s="184" t="s">
        <v>737</v>
      </c>
      <c r="C36" s="178">
        <f>SUM('DOE25'!F112:J112)-SUM('DOE25'!G97:G110)+('DOE25'!F174+'DOE25'!F175+'DOE25'!I174+'DOE25'!I175)-C35</f>
        <v>286662.72999999952</v>
      </c>
      <c r="D36" s="181">
        <f t="shared" si="1"/>
        <v>3.2</v>
      </c>
    </row>
    <row r="37" spans="1:4" x14ac:dyDescent="0.2">
      <c r="A37" s="182" t="s">
        <v>845</v>
      </c>
      <c r="B37" s="184" t="s">
        <v>726</v>
      </c>
      <c r="C37" s="178">
        <f>ROUND('DOE25'!F117+'DOE25'!F118,0)</f>
        <v>2369420</v>
      </c>
      <c r="D37" s="181">
        <f t="shared" si="1"/>
        <v>26.7</v>
      </c>
    </row>
    <row r="38" spans="1:4" x14ac:dyDescent="0.2">
      <c r="A38" s="182" t="s">
        <v>732</v>
      </c>
      <c r="B38" s="184" t="s">
        <v>727</v>
      </c>
      <c r="C38" s="178">
        <f>ROUND(SUM('DOE25'!F140:J140)-SUM('DOE25'!F117:F119),0)</f>
        <v>77575</v>
      </c>
      <c r="D38" s="181">
        <f t="shared" si="1"/>
        <v>0.9</v>
      </c>
    </row>
    <row r="39" spans="1:4" x14ac:dyDescent="0.2">
      <c r="A39">
        <v>4000</v>
      </c>
      <c r="B39" s="184" t="s">
        <v>728</v>
      </c>
      <c r="C39" s="178">
        <f>ROUND('DOE25'!F169+'DOE25'!G169+'DOE25'!H169+'DOE25'!I169,0)</f>
        <v>253601</v>
      </c>
      <c r="D39" s="181">
        <f t="shared" si="1"/>
        <v>2.9</v>
      </c>
    </row>
    <row r="40" spans="1:4" x14ac:dyDescent="0.2">
      <c r="A40" s="182" t="s">
        <v>733</v>
      </c>
      <c r="B40" s="184" t="s">
        <v>729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730</v>
      </c>
      <c r="C41" s="179">
        <f>SUM(C35:C40)</f>
        <v>8874297.7300000004</v>
      </c>
      <c r="D41" s="183">
        <f>SUM(D35:D40)</f>
        <v>100.00000000000001</v>
      </c>
    </row>
    <row r="42" spans="1:4" x14ac:dyDescent="0.2">
      <c r="A42" s="182" t="s">
        <v>735</v>
      </c>
      <c r="B42" s="184" t="s">
        <v>731</v>
      </c>
      <c r="C42" s="178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764</v>
      </c>
      <c r="B1" s="297"/>
      <c r="C1" s="297"/>
      <c r="D1" s="297"/>
      <c r="E1" s="297"/>
      <c r="F1" s="297"/>
      <c r="G1" s="297"/>
      <c r="H1" s="297"/>
      <c r="I1" s="297"/>
      <c r="J1" s="212"/>
      <c r="K1" s="212"/>
      <c r="L1" s="212"/>
      <c r="M1" s="213"/>
    </row>
    <row r="2" spans="1:26" ht="12.75" x14ac:dyDescent="0.2">
      <c r="A2" s="302" t="s">
        <v>761</v>
      </c>
      <c r="B2" s="303"/>
      <c r="C2" s="303"/>
      <c r="D2" s="303"/>
      <c r="E2" s="303"/>
      <c r="F2" s="300" t="str">
        <f>'DOE25'!A2</f>
        <v>Brookline School District</v>
      </c>
      <c r="G2" s="301"/>
      <c r="H2" s="301"/>
      <c r="I2" s="301"/>
      <c r="J2" s="52"/>
      <c r="K2" s="52"/>
      <c r="L2" s="52"/>
      <c r="M2" s="214"/>
    </row>
    <row r="3" spans="1:26" x14ac:dyDescent="0.2">
      <c r="A3" s="215" t="s">
        <v>762</v>
      </c>
      <c r="B3" s="216" t="s">
        <v>763</v>
      </c>
      <c r="C3" s="298" t="s">
        <v>765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7"/>
      <c r="B4" s="218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0"/>
      <c r="O29" s="210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6"/>
      <c r="AB29" s="206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6"/>
      <c r="AO29" s="206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6"/>
      <c r="BB29" s="206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6"/>
      <c r="BO29" s="206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6"/>
      <c r="CB29" s="206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6"/>
      <c r="CO29" s="206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6"/>
      <c r="DB29" s="206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6"/>
      <c r="DO29" s="206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6"/>
      <c r="EB29" s="206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6"/>
      <c r="EO29" s="206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6"/>
      <c r="FB29" s="206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6"/>
      <c r="FO29" s="206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6"/>
      <c r="GB29" s="206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6"/>
      <c r="GO29" s="206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6"/>
      <c r="HB29" s="206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6"/>
      <c r="HO29" s="206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6"/>
      <c r="IB29" s="206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6"/>
      <c r="IO29" s="206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7"/>
      <c r="B30" s="218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0"/>
      <c r="O30" s="210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6"/>
      <c r="AB30" s="206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6"/>
      <c r="AO30" s="206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6"/>
      <c r="BB30" s="206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6"/>
      <c r="BO30" s="206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6"/>
      <c r="CB30" s="206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6"/>
      <c r="CO30" s="206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6"/>
      <c r="DB30" s="206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6"/>
      <c r="DO30" s="206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6"/>
      <c r="EB30" s="206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6"/>
      <c r="EO30" s="206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6"/>
      <c r="FB30" s="206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6"/>
      <c r="FO30" s="206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6"/>
      <c r="GB30" s="206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6"/>
      <c r="GO30" s="206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6"/>
      <c r="HB30" s="206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6"/>
      <c r="HO30" s="206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6"/>
      <c r="IB30" s="206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6"/>
      <c r="IO30" s="206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7"/>
      <c r="B31" s="218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0"/>
      <c r="O31" s="210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6"/>
      <c r="AB31" s="206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6"/>
      <c r="AO31" s="206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6"/>
      <c r="BB31" s="206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6"/>
      <c r="BO31" s="206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6"/>
      <c r="CB31" s="206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6"/>
      <c r="CO31" s="206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6"/>
      <c r="DB31" s="206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6"/>
      <c r="DO31" s="206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6"/>
      <c r="EB31" s="206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6"/>
      <c r="EO31" s="206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6"/>
      <c r="FB31" s="206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6"/>
      <c r="FO31" s="206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6"/>
      <c r="GB31" s="206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6"/>
      <c r="GO31" s="206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6"/>
      <c r="HB31" s="206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6"/>
      <c r="HO31" s="206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6"/>
      <c r="IB31" s="206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6"/>
      <c r="IO31" s="206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7"/>
      <c r="B32" s="218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2"/>
      <c r="O32" s="222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7"/>
      <c r="AB32" s="218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7"/>
      <c r="AO32" s="218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7"/>
      <c r="BB32" s="218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7"/>
      <c r="BO32" s="218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7"/>
      <c r="CB32" s="218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7"/>
      <c r="CO32" s="218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7"/>
      <c r="DB32" s="218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7"/>
      <c r="DO32" s="218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7"/>
      <c r="EB32" s="218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7"/>
      <c r="EO32" s="218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7"/>
      <c r="FB32" s="218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7"/>
      <c r="FO32" s="218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7"/>
      <c r="GB32" s="218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7"/>
      <c r="GO32" s="218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7"/>
      <c r="HB32" s="218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7"/>
      <c r="HO32" s="218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7"/>
      <c r="IB32" s="218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7"/>
      <c r="IO32" s="218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7"/>
      <c r="B33" s="218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0"/>
      <c r="O38" s="210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6"/>
      <c r="AB38" s="206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6"/>
      <c r="AO38" s="206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6"/>
      <c r="BB38" s="206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6"/>
      <c r="BO38" s="206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6"/>
      <c r="CB38" s="206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6"/>
      <c r="CO38" s="206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6"/>
      <c r="DB38" s="206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6"/>
      <c r="DO38" s="206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6"/>
      <c r="EB38" s="206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6"/>
      <c r="EO38" s="206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6"/>
      <c r="FB38" s="206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6"/>
      <c r="FO38" s="206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6"/>
      <c r="GB38" s="206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6"/>
      <c r="GO38" s="206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6"/>
      <c r="HB38" s="206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6"/>
      <c r="HO38" s="206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6"/>
      <c r="IB38" s="206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6"/>
      <c r="IO38" s="206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7"/>
      <c r="B39" s="218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0"/>
      <c r="O39" s="210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6"/>
      <c r="AB39" s="206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6"/>
      <c r="AO39" s="206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6"/>
      <c r="BB39" s="206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6"/>
      <c r="BO39" s="206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6"/>
      <c r="CB39" s="206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6"/>
      <c r="CO39" s="206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6"/>
      <c r="DB39" s="206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6"/>
      <c r="DO39" s="206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6"/>
      <c r="EB39" s="206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6"/>
      <c r="EO39" s="206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6"/>
      <c r="FB39" s="206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6"/>
      <c r="FO39" s="206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6"/>
      <c r="GB39" s="206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6"/>
      <c r="GO39" s="206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6"/>
      <c r="HB39" s="206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6"/>
      <c r="HO39" s="206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6"/>
      <c r="IB39" s="206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6"/>
      <c r="IO39" s="206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7"/>
      <c r="B40" s="218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0"/>
      <c r="O40" s="210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6"/>
      <c r="AB40" s="206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6"/>
      <c r="AO40" s="206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6"/>
      <c r="BB40" s="206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6"/>
      <c r="BO40" s="206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6"/>
      <c r="CB40" s="206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6"/>
      <c r="CO40" s="206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6"/>
      <c r="DB40" s="206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6"/>
      <c r="DO40" s="206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6"/>
      <c r="EB40" s="206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6"/>
      <c r="EO40" s="206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6"/>
      <c r="FB40" s="206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6"/>
      <c r="FO40" s="206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6"/>
      <c r="GB40" s="206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6"/>
      <c r="GO40" s="206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6"/>
      <c r="HB40" s="206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6"/>
      <c r="HO40" s="206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6"/>
      <c r="IB40" s="206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6"/>
      <c r="IO40" s="206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7"/>
      <c r="B41" s="218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7"/>
      <c r="B60" s="218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7"/>
      <c r="B61" s="218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7"/>
      <c r="B62" s="218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7"/>
      <c r="B63" s="218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7"/>
      <c r="B64" s="218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7"/>
      <c r="B65" s="218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7"/>
      <c r="B66" s="218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7"/>
      <c r="B67" s="218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7"/>
      <c r="B68" s="218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7"/>
      <c r="B69" s="218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19"/>
      <c r="B70" s="220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1" t="s">
        <v>842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762</v>
      </c>
      <c r="B73" s="209" t="s">
        <v>763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0"/>
      <c r="B74" s="210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0"/>
      <c r="B75" s="210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0"/>
      <c r="B76" s="210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0"/>
      <c r="B77" s="210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0"/>
      <c r="B78" s="210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0"/>
      <c r="B79" s="210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0"/>
      <c r="B80" s="210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0"/>
      <c r="B81" s="210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0"/>
      <c r="B82" s="210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0"/>
      <c r="B83" s="210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0"/>
      <c r="B84" s="210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0"/>
      <c r="B85" s="210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0"/>
      <c r="B86" s="210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0"/>
      <c r="B87" s="210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0"/>
      <c r="B88" s="210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0"/>
      <c r="B89" s="210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0"/>
      <c r="B90" s="210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2018-10-05T11:33:36Z</cp:lastPrinted>
  <dcterms:created xsi:type="dcterms:W3CDTF">1997-12-04T19:04:30Z</dcterms:created>
  <dcterms:modified xsi:type="dcterms:W3CDTF">2018-11-13T19:27:19Z</dcterms:modified>
</cp:coreProperties>
</file>