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C123" i="2"/>
  <c r="E123" i="2"/>
  <c r="C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 s="1"/>
  <c r="L351" i="1"/>
  <c r="L290" i="1"/>
  <c r="A31" i="12"/>
  <c r="A40" i="12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571" i="1"/>
  <c r="K571" i="1"/>
  <c r="L433" i="1"/>
  <c r="L419" i="1"/>
  <c r="I169" i="1"/>
  <c r="H169" i="1"/>
  <c r="J644" i="1"/>
  <c r="J643" i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45" i="1"/>
  <c r="H552" i="1"/>
  <c r="C29" i="10"/>
  <c r="H140" i="1"/>
  <c r="L401" i="1"/>
  <c r="C139" i="2" s="1"/>
  <c r="L393" i="1"/>
  <c r="C138" i="2" s="1"/>
  <c r="F22" i="13"/>
  <c r="H25" i="13"/>
  <c r="C25" i="13" s="1"/>
  <c r="J651" i="1"/>
  <c r="J640" i="1"/>
  <c r="J634" i="1"/>
  <c r="H571" i="1"/>
  <c r="L560" i="1"/>
  <c r="H338" i="1"/>
  <c r="H352" i="1" s="1"/>
  <c r="G192" i="1"/>
  <c r="H19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K551" i="1"/>
  <c r="C22" i="13"/>
  <c r="C16" i="13"/>
  <c r="H33" i="13"/>
  <c r="L544" i="1" l="1"/>
  <c r="H545" i="1"/>
  <c r="A13" i="12"/>
  <c r="K598" i="1"/>
  <c r="G647" i="1" s="1"/>
  <c r="J647" i="1" s="1"/>
  <c r="J649" i="1"/>
  <c r="G545" i="1"/>
  <c r="L529" i="1"/>
  <c r="L524" i="1"/>
  <c r="K549" i="1"/>
  <c r="K552" i="1" s="1"/>
  <c r="I446" i="1"/>
  <c r="G642" i="1" s="1"/>
  <c r="J642" i="1" s="1"/>
  <c r="D29" i="13"/>
  <c r="C29" i="13" s="1"/>
  <c r="G661" i="1"/>
  <c r="L362" i="1"/>
  <c r="C27" i="10" s="1"/>
  <c r="D127" i="2"/>
  <c r="D128" i="2" s="1"/>
  <c r="F661" i="1"/>
  <c r="H664" i="1"/>
  <c r="H672" i="1" s="1"/>
  <c r="C6" i="10" s="1"/>
  <c r="D145" i="2"/>
  <c r="E128" i="2"/>
  <c r="C20" i="10"/>
  <c r="C16" i="10"/>
  <c r="K338" i="1"/>
  <c r="K352" i="1" s="1"/>
  <c r="E112" i="2"/>
  <c r="E115" i="2" s="1"/>
  <c r="F257" i="1"/>
  <c r="F271" i="1" s="1"/>
  <c r="C81" i="2"/>
  <c r="C104" i="2" s="1"/>
  <c r="D12" i="13"/>
  <c r="C12" i="13" s="1"/>
  <c r="C18" i="10"/>
  <c r="E8" i="13"/>
  <c r="C8" i="13" s="1"/>
  <c r="C17" i="10"/>
  <c r="C119" i="2"/>
  <c r="C128" i="2"/>
  <c r="L211" i="1"/>
  <c r="F660" i="1" s="1"/>
  <c r="F664" i="1" s="1"/>
  <c r="C109" i="2"/>
  <c r="C115" i="2" s="1"/>
  <c r="C10" i="10"/>
  <c r="J622" i="1"/>
  <c r="D1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H646" i="1" l="1"/>
  <c r="L545" i="1"/>
  <c r="G635" i="1"/>
  <c r="J635" i="1" s="1"/>
  <c r="I661" i="1"/>
  <c r="H667" i="1"/>
  <c r="G664" i="1"/>
  <c r="E145" i="2"/>
  <c r="D31" i="13"/>
  <c r="C31" i="13" s="1"/>
  <c r="E33" i="13"/>
  <c r="D35" i="13" s="1"/>
  <c r="C145" i="2"/>
  <c r="L257" i="1"/>
  <c r="L271" i="1" s="1"/>
  <c r="G632" i="1" s="1"/>
  <c r="J632" i="1" s="1"/>
  <c r="C28" i="10"/>
  <c r="D22" i="10" s="1"/>
  <c r="F672" i="1"/>
  <c r="C4" i="10" s="1"/>
  <c r="F667" i="1"/>
  <c r="I660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G667" i="1"/>
  <c r="G672" i="1"/>
  <c r="C5" i="10" s="1"/>
  <c r="D33" i="13"/>
  <c r="D36" i="13" s="1"/>
  <c r="C30" i="10"/>
  <c r="D24" i="10"/>
  <c r="D27" i="10"/>
  <c r="D17" i="10"/>
  <c r="D10" i="10"/>
  <c r="D23" i="10"/>
  <c r="D12" i="10"/>
  <c r="D18" i="10"/>
  <c r="D26" i="10"/>
  <c r="D16" i="10"/>
  <c r="D20" i="10"/>
  <c r="D15" i="10"/>
  <c r="D25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<sst xmlns="http://schemas.openxmlformats.org/spreadsheetml/2006/main" count="3957" uniqueCount="913">
  <si>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</si>
  <si>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</si>
  <si>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</si>
  <si>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</si>
  <si>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</si>
  <si>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</si>
  <si>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</si>
  <si>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</si>
  <si>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</si>
  <si>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</si>
  <si>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</si>
  <si>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</si>
  <si>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</si>
  <si>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</si>
  <si>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</si>
  <si>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</si>
  <si>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</si>
  <si>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</si>
  <si>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</si>
  <si>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</si>
  <si>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</si>
  <si>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</si>
  <si>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</si>
  <si>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</si>
  <si>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</si>
  <si>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</si>
  <si>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</si>
  <si>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</si>
  <si>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</si>
  <si>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</si>
  <si>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</si>
  <si>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</si>
  <si>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</si>
  <si>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</si>
  <si>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</si>
  <si>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</si>
  <si>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</si>
  <si>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</si>
  <si>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</si>
  <si>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</si>
  <si>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</si>
  <si>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</si>
  <si>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</si>
  <si>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</si>
  <si>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</si>
  <si>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</si>
  <si>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</si>
  <si>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</si>
  <si>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</si>
  <si>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</si>
  <si>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</si>
  <si>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</si>
  <si>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</si>
  <si>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</si>
  <si>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</si>
  <si>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</si>
  <si>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</si>
  <si>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</si>
  <si>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</si>
  <si>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</si>
  <si>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</si>
  <si>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</si>
  <si>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</si>
  <si>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</si>
  <si>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</si>
  <si>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</si>
  <si>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</si>
  <si>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</si>
  <si>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</si>
  <si>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</si>
  <si>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</si>
  <si>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</si>
  <si>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</si>
  <si>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</si>
  <si>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</si>
  <si>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</si>
  <si>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</si>
  <si>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</si>
  <si>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</si>
  <si>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</si>
  <si>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</si>
  <si>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</si>
  <si>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</si>
  <si>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</si>
  <si>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</si>
  <si>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</si>
  <si>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</si>
  <si>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</si>
  <si>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</si>
  <si>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</si>
  <si>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</si>
  <si>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</si>
  <si>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</si>
  <si>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</si>
  <si>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</si>
  <si>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</si>
  <si>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</si>
  <si>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</si>
  <si>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</si>
  <si>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</si>
  <si>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</si>
  <si>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</si>
  <si>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</si>
  <si>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</si>
  <si>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</si>
  <si>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</si>
  <si>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</si>
  <si>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</si>
  <si>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</si>
  <si>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</si>
  <si>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</si>
  <si>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</si>
  <si>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</si>
  <si>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</si>
  <si>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</si>
  <si>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</si>
  <si>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</si>
  <si>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</si>
  <si>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</si>
  <si>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</si>
  <si>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</si>
  <si>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</si>
  <si>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</si>
  <si>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</si>
  <si>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</si>
  <si>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</si>
  <si>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</si>
  <si>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</si>
  <si>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</si>
  <si>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</si>
  <si>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</si>
  <si>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</si>
  <si>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</si>
  <si>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</si>
  <si>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</si>
  <si>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</si>
  <si>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</si>
  <si>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</si>
  <si>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</si>
  <si>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</si>
  <si>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</si>
  <si>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</si>
  <si>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</si>
  <si>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</si>
  <si>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</si>
  <si>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</si>
  <si>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</si>
  <si>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</si>
  <si>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</si>
  <si>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</si>
  <si>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</si>
  <si>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</si>
  <si>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</si>
  <si>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</si>
  <si>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</si>
  <si>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</si>
  <si>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</si>
  <si>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</si>
  <si>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</si>
  <si>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</si>
  <si>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</si>
  <si>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</si>
  <si>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</si>
  <si>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</si>
  <si>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</si>
  <si>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</si>
  <si>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</si>
  <si>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</si>
  <si>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</si>
  <si>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</si>
  <si>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</si>
  <si>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</si>
  <si>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</si>
  <si>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</si>
  <si>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</si>
  <si>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</si>
  <si>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</si>
  <si>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</si>
  <si>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</si>
  <si>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</si>
  <si>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</si>
  <si>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</si>
  <si>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</si>
  <si>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</si>
  <si>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</si>
  <si>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</si>
  <si>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</si>
  <si>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</si>
  <si>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</si>
  <si>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</si>
  <si>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</si>
  <si>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</si>
  <si>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</si>
  <si>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</si>
  <si>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</si>
  <si>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</si>
  <si>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</si>
  <si>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</si>
  <si>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</si>
  <si>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</si>
  <si>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</si>
  <si>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</si>
  <si>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</si>
  <si>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</si>
  <si>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</si>
  <si>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</si>
  <si>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</si>
  <si>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</si>
  <si>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</si>
  <si>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</si>
  <si>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</si>
  <si>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</si>
  <si>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</si>
  <si>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</si>
  <si>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</si>
  <si>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</si>
  <si>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</si>
  <si>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</si>
  <si>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</si>
  <si>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</si>
  <si>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</si>
  <si>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</si>
  <si>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</si>
  <si>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</si>
  <si>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</si>
  <si>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</si>
  <si>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</si>
  <si>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</si>
  <si>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</si>
  <si>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</si>
  <si>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</si>
  <si>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</si>
  <si>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</si>
  <si>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</si>
  <si>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</si>
  <si>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</si>
  <si>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</si>
  <si>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</si>
  <si>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</si>
  <si>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</si>
  <si>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</si>
  <si>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</si>
  <si>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</si>
  <si>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</si>
  <si>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</si>
  <si>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</si>
  <si>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</si>
  <si>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</si>
  <si>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</si>
  <si>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</si>
  <si>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</si>
  <si>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</si>
  <si>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</si>
  <si>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</si>
  <si>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</si>
  <si>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</si>
  <si>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</si>
  <si>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</si>
  <si>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</si>
  <si>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</si>
  <si>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</si>
  <si>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</si>
  <si>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</si>
  <si>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</si>
  <si>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</si>
  <si>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</si>
  <si>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</si>
  <si>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</si>
  <si>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</si>
  <si>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</si>
  <si>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</si>
  <si>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</si>
  <si>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</si>
  <si>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</si>
  <si>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</si>
  <si>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</si>
  <si>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</si>
  <si>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</si>
  <si>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</si>
  <si>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</si>
  <si>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</si>
  <si>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</si>
  <si>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</si>
  <si>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</si>
  <si>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</si>
  <si>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</si>
  <si>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</si>
  <si>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</si>
  <si>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</si>
  <si>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</si>
  <si>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</si>
  <si>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</si>
  <si>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</si>
  <si>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</si>
  <si>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</si>
  <si>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</si>
  <si>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</si>
  <si>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</si>
  <si>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</si>
  <si>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</si>
  <si>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</si>
  <si>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</si>
  <si>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</si>
  <si>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</si>
  <si>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</si>
  <si>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</si>
  <si>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</si>
  <si>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</si>
  <si>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</si>
  <si>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</si>
  <si>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</si>
  <si>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</si>
  <si>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</si>
  <si>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</si>
  <si>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</si>
  <si>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</si>
  <si>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</si>
  <si>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</si>
  <si>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</si>
  <si>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</si>
  <si>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</si>
  <si>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</si>
  <si>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</si>
  <si>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</si>
  <si>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</si>
  <si>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</si>
  <si>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</si>
  <si>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</si>
  <si>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</si>
  <si>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</si>
  <si>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</si>
  <si>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</si>
  <si>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</si>
  <si>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</si>
  <si>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</si>
  <si>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</si>
  <si>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</si>
  <si>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</si>
  <si>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</si>
  <si>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</si>
  <si>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</si>
  <si>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</si>
  <si>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</si>
  <si>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</si>
  <si>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</si>
  <si>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</si>
  <si>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</si>
  <si>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</si>
  <si>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</si>
  <si>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</si>
  <si>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</si>
  <si>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</si>
  <si>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</si>
  <si>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</si>
  <si>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</si>
  <si>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</si>
  <si>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</si>
  <si>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</si>
  <si>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</si>
  <si>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</si>
  <si>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</si>
  <si>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</si>
  <si>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</si>
  <si>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</si>
  <si>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</si>
  <si>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</si>
  <si>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</si>
  <si>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</si>
  <si>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</si>
  <si>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</si>
  <si>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</si>
  <si>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</si>
  <si>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</si>
  <si>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</si>
  <si>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</si>
  <si>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</si>
  <si>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</si>
  <si>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</si>
  <si>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</si>
  <si>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</si>
  <si>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</si>
  <si>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</si>
  <si>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</si>
  <si>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</si>
  <si>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</si>
  <si>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</si>
  <si>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</si>
  <si>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</si>
  <si>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</si>
  <si>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</si>
  <si>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</si>
  <si>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</si>
  <si>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</si>
  <si>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</si>
  <si>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</si>
  <si>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</si>
  <si>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</si>
  <si>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</si>
  <si>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</si>
  <si>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</si>
  <si>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</si>
  <si>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</si>
  <si>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</si>
  <si>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</si>
  <si>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</si>
  <si>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</si>
  <si>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</si>
  <si>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</si>
  <si>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</si>
  <si>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</si>
  <si>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</si>
  <si>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</si>
  <si>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</si>
  <si>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</si>
  <si>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</si>
  <si>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</si>
  <si>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</si>
  <si>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</si>
  <si>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</si>
  <si>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</si>
  <si>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</si>
  <si>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</si>
  <si>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</si>
  <si>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</si>
  <si>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</si>
  <si>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</si>
  <si>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</si>
  <si>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</si>
  <si>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</si>
  <si>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</si>
  <si>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</si>
  <si>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</si>
  <si>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</si>
  <si>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</si>
  <si>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</si>
  <si>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</si>
  <si>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</si>
  <si>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</si>
  <si>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</si>
  <si>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</si>
  <si>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</si>
  <si>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</si>
  <si>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</si>
  <si>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</si>
  <si>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</si>
  <si>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</si>
  <si>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</si>
  <si>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</si>
  <si>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</si>
  <si>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</si>
  <si>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</si>
  <si>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</si>
  <si>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</si>
  <si>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</si>
  <si>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</si>
  <si>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</si>
  <si>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</si>
  <si>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</si>
  <si>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</si>
  <si>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</si>
  <si>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</si>
  <si>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</si>
  <si>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</si>
  <si>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</si>
  <si>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</si>
  <si>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</si>
  <si>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</si>
  <si>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</si>
  <si>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</si>
  <si>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</si>
  <si>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</si>
  <si>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</si>
  <si>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</si>
  <si>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</si>
  <si>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</si>
  <si>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</si>
  <si>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</si>
  <si>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</si>
  <si>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</si>
  <si>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</si>
  <si>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</si>
  <si>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</si>
  <si>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</si>
  <si>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</si>
  <si>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</si>
  <si>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</si>
  <si>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</si>
  <si>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</si>
  <si>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</si>
  <si>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</si>
  <si>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</si>
  <si>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</si>
  <si>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</si>
  <si>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</si>
  <si>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</si>
  <si>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</si>
  <si>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</si>
  <si>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</si>
  <si>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</si>
  <si>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</si>
  <si>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</si>
  <si>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</si>
  <si>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</si>
  <si>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</si>
  <si>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</si>
  <si>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</si>
  <si>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</si>
  <si>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</si>
  <si>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</si>
  <si>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</si>
  <si>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</si>
  <si>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</si>
  <si>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</si>
  <si>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</si>
  <si>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</si>
  <si>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</si>
  <si>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</si>
  <si>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</si>
  <si>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</si>
  <si>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</si>
  <si>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</si>
  <si>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</si>
  <si>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</si>
  <si>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</si>
  <si>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</si>
  <si>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</si>
  <si>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</si>
  <si>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</si>
  <si>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</si>
  <si>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</si>
  <si>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</si>
  <si>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</si>
  <si>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</si>
  <si>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</si>
  <si>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</si>
  <si>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</si>
  <si>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</si>
  <si>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</si>
  <si>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</si>
  <si>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</si>
  <si>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</si>
  <si>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</si>
  <si>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</si>
  <si>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</si>
  <si>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</si>
  <si>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</si>
  <si>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</si>
  <si>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</si>
  <si>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</si>
  <si>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</si>
  <si>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</si>
  <si>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</si>
  <si>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</si>
  <si>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</si>
  <si>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</si>
  <si>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</si>
  <si>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</si>
  <si>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</si>
  <si>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</si>
  <si>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</si>
  <si>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</si>
  <si>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</si>
  <si>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</si>
  <si>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</si>
  <si>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</si>
  <si>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</si>
  <si>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</si>
  <si>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</si>
  <si>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</si>
  <si>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</si>
  <si>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</si>
  <si>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</si>
  <si>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</si>
  <si>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</si>
  <si>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</si>
  <si>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</si>
  <si>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</si>
  <si>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</si>
  <si>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</si>
  <si>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</si>
  <si>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</si>
  <si>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</si>
  <si>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</si>
  <si>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</si>
  <si>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</si>
  <si>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</si>
  <si>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</si>
  <si>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</si>
  <si>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</si>
  <si>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</si>
  <si>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</si>
  <si>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</si>
  <si>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</si>
  <si>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</si>
  <si>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</si>
  <si>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</si>
  <si>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</si>
  <si>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</si>
  <si>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</si>
  <si>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</si>
  <si>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</si>
  <si>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</si>
  <si>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</si>
  <si>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</si>
  <si>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</si>
  <si>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</si>
  <si>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</si>
  <si>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</si>
  <si>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</si>
  <si>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</si>
  <si>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</si>
  <si>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</si>
  <si>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</si>
  <si>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</si>
  <si>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</si>
  <si>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</si>
  <si>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</si>
  <si>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</si>
  <si>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</si>
  <si>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</si>
  <si>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</si>
  <si>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</si>
  <si>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</si>
  <si>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</si>
  <si>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</si>
  <si>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</si>
  <si>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</si>
  <si>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</si>
  <si>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</si>
  <si>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</si>
  <si>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</si>
  <si>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</si>
  <si>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</si>
  <si>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</si>
  <si>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</si>
  <si>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</si>
  <si>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</si>
  <si>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</si>
  <si>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</si>
  <si>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</si>
  <si>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</si>
  <si>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</si>
  <si>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</si>
  <si>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</si>
  <si>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</si>
  <si>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</si>
  <si>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</si>
  <si>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</si>
  <si>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</si>
  <si>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</si>
  <si>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</si>
  <si>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</si>
  <si>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</si>
  <si>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</si>
  <si>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</si>
  <si>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</si>
  <si>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</si>
  <si>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</si>
  <si>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</si>
  <si>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</si>
  <si>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</si>
  <si>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</si>
  <si>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</si>
  <si>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</si>
  <si>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</si>
  <si>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</si>
  <si>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</si>
  <si>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</si>
  <si>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</si>
  <si>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</si>
  <si>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</si>
  <si>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</si>
  <si>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</si>
  <si>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</si>
  <si>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</si>
  <si>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</si>
  <si>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</si>
  <si>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</si>
  <si>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</si>
  <si>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</si>
  <si>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</si>
  <si>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</si>
  <si>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</si>
  <si>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</si>
  <si>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</si>
  <si>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</si>
  <si>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</si>
  <si>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</si>
  <si>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</si>
  <si>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</si>
  <si>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</si>
  <si>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</si>
  <si>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</si>
  <si>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</si>
  <si>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</si>
  <si>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</si>
  <si>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</si>
  <si>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</si>
  <si>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</si>
  <si>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</si>
  <si>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</si>
  <si>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</si>
  <si>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</si>
  <si>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</si>
  <si>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</si>
  <si>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</si>
  <si>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</si>
  <si>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</si>
  <si>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</si>
  <si>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</si>
  <si>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</si>
  <si>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</si>
  <si>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</si>
  <si>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</si>
  <si>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</si>
  <si>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</si>
  <si>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</si>
  <si>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</si>
  <si>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</si>
  <si>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</si>
  <si>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</si>
  <si>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</si>
  <si>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</si>
  <si>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</si>
  <si>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</si>
  <si>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</si>
  <si>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</si>
  <si>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</si>
  <si>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</si>
  <si>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</si>
  <si>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</si>
  <si>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</si>
  <si>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</si>
  <si>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</si>
  <si>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</si>
  <si>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</si>
  <si>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</si>
  <si>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</si>
  <si>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</si>
  <si>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</si>
  <si>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</si>
  <si>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</si>
  <si>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</si>
  <si>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</si>
  <si>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</si>
  <si>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</si>
  <si>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</si>
  <si>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</si>
  <si>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</si>
  <si>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</si>
  <si>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</si>
  <si>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</si>
  <si>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</si>
  <si>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</si>
  <si>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</si>
  <si>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</si>
  <si>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</si>
  <si>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</si>
  <si>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</si>
  <si>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</si>
  <si>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</si>
  <si>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</si>
  <si>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</si>
  <si>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</si>
  <si>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</si>
  <si>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</si>
  <si>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</si>
  <si>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</si>
  <si>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</si>
  <si>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</si>
  <si>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</si>
  <si>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</si>
  <si>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</si>
  <si>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</si>
  <si>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</si>
  <si>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</si>
  <si>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</si>
  <si>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</si>
  <si>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</si>
  <si>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</si>
  <si>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</si>
  <si>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</si>
  <si>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</si>
  <si>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</si>
  <si>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</si>
  <si>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</si>
  <si>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</si>
  <si>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</si>
  <si>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</si>
  <si>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</si>
  <si>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</si>
  <si>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</si>
  <si>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</si>
  <si>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</si>
  <si>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</si>
  <si>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</si>
  <si>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</si>
  <si>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</si>
  <si>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</si>
  <si>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</si>
  <si>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</si>
  <si>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</si>
  <si>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</si>
  <si>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</si>
  <si>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</si>
  <si>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</si>
  <si>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</si>
  <si>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</si>
  <si>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</si>
  <si>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</si>
  <si>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</si>
  <si>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</si>
  <si>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</si>
  <si>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</si>
  <si>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</si>
  <si>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</si>
  <si>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</si>
  <si>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</si>
  <si>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</si>
  <si>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</si>
  <si>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</si>
  <si>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</si>
  <si>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</si>
  <si>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</si>
  <si>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</si>
  <si>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</si>
  <si>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</si>
  <si>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</si>
  <si>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</si>
  <si>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</si>
  <si>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</si>
  <si>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</si>
  <si>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</si>
  <si>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</si>
  <si>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</si>
  <si>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</si>
  <si>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</si>
  <si>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</si>
  <si>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</si>
  <si>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</si>
  <si>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</si>
  <si>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</si>
  <si>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</si>
  <si>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</si>
  <si>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</si>
  <si>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</si>
  <si>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</si>
  <si>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</si>
  <si>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</si>
  <si>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</si>
  <si>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</si>
  <si>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</si>
  <si>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</si>
  <si>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</si>
  <si>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</si>
  <si>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</si>
  <si>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</si>
  <si>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</si>
  <si>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</si>
  <si>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</si>
  <si>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</si>
  <si>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</si>
  <si>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</si>
  <si>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</si>
  <si>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</si>
  <si>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</si>
  <si>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</si>
  <si>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</si>
  <si>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</si>
  <si>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</si>
  <si>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</si>
  <si>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</si>
  <si>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</si>
  <si>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</si>
  <si>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</si>
  <si>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</si>
  <si>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</si>
  <si>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</si>
  <si>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</si>
  <si>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</si>
  <si>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</si>
  <si>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</si>
  <si>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</si>
  <si>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</si>
  <si>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</si>
  <si>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</si>
  <si>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</si>
  <si>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</si>
  <si>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</si>
  <si>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</si>
  <si>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</si>
  <si>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</si>
  <si>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</si>
  <si>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</si>
  <si>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</si>
  <si>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</si>
  <si>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</si>
  <si>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</si>
  <si>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</si>
  <si>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</si>
  <si>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</si>
  <si>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</si>
  <si>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</si>
  <si>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</si>
  <si>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</si>
  <si>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</si>
  <si>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</si>
  <si>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</si>
  <si>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</si>
  <si>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</si>
  <si>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</si>
  <si>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</si>
  <si>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Campton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</si>
</sst>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75</v>
      </c>
      <c r="C2" s="21">
        <v>75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179930.44</v>
      </c>
      <c r="G9" s="18">
        <v>-48027.09</v>
      </c>
      <c r="H9" s="18">
        <v>-13154.35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984.16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2619.61</v>
      </c>
      <c r="G13" s="18">
        <v>54233.49</v>
      </c>
      <c r="H13" s="18">
        <v>19563.259999999998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5631.05</v>
      </c>
      <c r="G14" s="18">
        <v>16.5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3223.56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191404.65999999997</v>
      </c>
      <c r="G19" s="41">
        <f>SUM(G9:G18)</f>
        <v>6222.9000000000015</v>
      </c>
      <c r="H19" s="41">
        <f>SUM(H9:H18)</f>
        <v>6408.909999999998</v>
      </c>
      <c r="I19" s="41">
        <f>SUM(I9:I18)</f>
        <v>0</v>
      </c>
      <c r="J19" s="41">
        <f>SUM(J9:J18)</f>
        <v>984.16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21479.56</v>
      </c>
      <c r="G24" s="18"/>
      <c r="H24" s="18">
        <v>6163.5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6400</v>
      </c>
      <c r="G30" s="18"/>
      <c r="H30" s="18">
        <v>926.4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27879.56</v>
      </c>
      <c r="G32" s="41">
        <f>SUM(G22:G31)</f>
        <v>0</v>
      </c>
      <c r="H32" s="41">
        <f>SUM(H22:H31)</f>
        <v>7089.9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6222.9</v>
      </c>
      <c r="H48" s="18">
        <v>-1217.8399999999999</v>
      </c>
      <c r="I48" s="18"/>
      <c r="J48" s="13">
        <f>SUM(I459)</f>
        <v>984.16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88953</v>
      </c>
      <c r="G49" s="18"/>
      <c r="H49" s="18">
        <v>536.85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74572.100000000006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163525.1</v>
      </c>
      <c r="G51" s="41">
        <f>SUM(G35:G50)</f>
        <v>6222.9</v>
      </c>
      <c r="H51" s="41">
        <f>SUM(H35:H50)</f>
        <v>-680.9899999999999</v>
      </c>
      <c r="I51" s="41">
        <f>SUM(I35:I50)</f>
        <v>0</v>
      </c>
      <c r="J51" s="41">
        <f>SUM(J35:J50)</f>
        <v>984.16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191404.66</v>
      </c>
      <c r="G52" s="41">
        <f>G51+G32</f>
        <v>6222.9</v>
      </c>
      <c r="H52" s="41">
        <f>H51+H32</f>
        <v>6408.91</v>
      </c>
      <c r="I52" s="41">
        <f>I51+I32</f>
        <v>0</v>
      </c>
      <c r="J52" s="41">
        <f>J51+J32</f>
        <v>984.16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3991593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3991593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18451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36272.400000000001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54723.4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44.91</v>
      </c>
      <c r="G96" s="18">
        <v>2.17</v>
      </c>
      <c r="H96" s="18"/>
      <c r="I96" s="18"/>
      <c r="J96" s="18">
        <v>9.5500000000000007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38673.410000000003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6168.5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26089.45</v>
      </c>
      <c r="G110" s="18"/>
      <c r="H110" s="18">
        <v>2111.96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32302.86</v>
      </c>
      <c r="G111" s="41">
        <f>SUM(G96:G110)</f>
        <v>38675.58</v>
      </c>
      <c r="H111" s="41">
        <f>SUM(H96:H110)</f>
        <v>2111.96</v>
      </c>
      <c r="I111" s="41">
        <f>SUM(I96:I110)</f>
        <v>0</v>
      </c>
      <c r="J111" s="41">
        <f>SUM(J96:J110)</f>
        <v>9.5500000000000007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4078619.26</v>
      </c>
      <c r="G112" s="41">
        <f>G60+G111</f>
        <v>38675.58</v>
      </c>
      <c r="H112" s="41">
        <f>H60+H79+H94+H111</f>
        <v>2111.96</v>
      </c>
      <c r="I112" s="41">
        <f>I60+I111</f>
        <v>0</v>
      </c>
      <c r="J112" s="41">
        <f>J60+J111</f>
        <v>9.5500000000000007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1105944.76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573468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11079.74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1690492.5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1421.17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1421.17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1690492.5</v>
      </c>
      <c r="G140" s="41">
        <f>G121+SUM(G136:G137)</f>
        <v>1421.17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99042.04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18219.16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53851.11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42858.48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42858.48</v>
      </c>
      <c r="G162" s="41">
        <f>SUM(G150:G161)</f>
        <v>53851.11</v>
      </c>
      <c r="H162" s="41">
        <f>SUM(H150:H161)</f>
        <v>117261.2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1817.13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44675.61</v>
      </c>
      <c r="G169" s="41">
        <f>G147+G162+SUM(G163:G168)</f>
        <v>53851.11</v>
      </c>
      <c r="H169" s="41">
        <f>H147+H162+SUM(H163:H168)</f>
        <v>117261.2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30000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30000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5813787.3700000001</v>
      </c>
      <c r="G193" s="47">
        <f>G112+G140+G169+G192</f>
        <v>123947.86</v>
      </c>
      <c r="H193" s="47">
        <f>H112+H140+H169+H192</f>
        <v>119373.16</v>
      </c>
      <c r="I193" s="47">
        <f>I112+I140+I169+I192</f>
        <v>0</v>
      </c>
      <c r="J193" s="47">
        <f>J112+J140+J192</f>
        <v>9.5500000000000007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1751842.05</v>
      </c>
      <c r="G197" s="18">
        <v>1046134.41</v>
      </c>
      <c r="H197" s="18">
        <v>17063.330000000002</v>
      </c>
      <c r="I197" s="18">
        <v>54725.82</v>
      </c>
      <c r="J197" s="18">
        <v>52874.33</v>
      </c>
      <c r="K197" s="18">
        <v>165</v>
      </c>
      <c r="L197" s="19">
        <f>SUM(F197:K197)</f>
        <v>2922804.94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528732.86</v>
      </c>
      <c r="G198" s="18">
        <v>197802.34</v>
      </c>
      <c r="H198" s="18">
        <v>121251.09</v>
      </c>
      <c r="I198" s="18">
        <v>1761.88</v>
      </c>
      <c r="J198" s="18">
        <v>597.13</v>
      </c>
      <c r="K198" s="18">
        <v>530</v>
      </c>
      <c r="L198" s="19">
        <f>SUM(F198:K198)</f>
        <v>850675.29999999993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56522.62</v>
      </c>
      <c r="G200" s="18">
        <v>12237.54</v>
      </c>
      <c r="H200" s="18">
        <v>6756.23</v>
      </c>
      <c r="I200" s="18">
        <v>3534.75</v>
      </c>
      <c r="J200" s="18">
        <v>745.53</v>
      </c>
      <c r="K200" s="18">
        <v>4037.94</v>
      </c>
      <c r="L200" s="19">
        <f>SUM(F200:K200)</f>
        <v>83834.61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118829</v>
      </c>
      <c r="G202" s="18">
        <v>64453.53</v>
      </c>
      <c r="H202" s="18">
        <v>284042.53999999998</v>
      </c>
      <c r="I202" s="18">
        <v>4244.57</v>
      </c>
      <c r="J202" s="18"/>
      <c r="K202" s="18">
        <v>3770</v>
      </c>
      <c r="L202" s="19">
        <f t="shared" ref="L202:L208" si="0">SUM(F202:K202)</f>
        <v>475339.63999999996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56014.3</v>
      </c>
      <c r="G203" s="18">
        <v>54422.239999999998</v>
      </c>
      <c r="H203" s="18"/>
      <c r="I203" s="18">
        <v>7718.88</v>
      </c>
      <c r="J203" s="18"/>
      <c r="K203" s="18"/>
      <c r="L203" s="19">
        <f t="shared" si="0"/>
        <v>118155.42000000001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6350</v>
      </c>
      <c r="G204" s="18">
        <v>466.65</v>
      </c>
      <c r="H204" s="18">
        <v>213855.14</v>
      </c>
      <c r="I204" s="18">
        <v>1784.35</v>
      </c>
      <c r="J204" s="18"/>
      <c r="K204" s="18">
        <v>3039.79</v>
      </c>
      <c r="L204" s="19">
        <f t="shared" si="0"/>
        <v>225495.93000000002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233535.41</v>
      </c>
      <c r="G205" s="18">
        <v>131096.73000000001</v>
      </c>
      <c r="H205" s="18">
        <v>2263.9</v>
      </c>
      <c r="I205" s="18">
        <v>2012.54</v>
      </c>
      <c r="J205" s="18"/>
      <c r="K205" s="18">
        <v>2754.31</v>
      </c>
      <c r="L205" s="19">
        <f t="shared" si="0"/>
        <v>371662.89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110478.41</v>
      </c>
      <c r="G207" s="18">
        <v>33242.18</v>
      </c>
      <c r="H207" s="18">
        <v>110186.68</v>
      </c>
      <c r="I207" s="18">
        <v>91519.013999999996</v>
      </c>
      <c r="J207" s="18">
        <v>31870.95</v>
      </c>
      <c r="K207" s="18"/>
      <c r="L207" s="19">
        <f t="shared" si="0"/>
        <v>377297.234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277299.90999999997</v>
      </c>
      <c r="I208" s="18"/>
      <c r="J208" s="18"/>
      <c r="K208" s="18"/>
      <c r="L208" s="19">
        <f t="shared" si="0"/>
        <v>277299.90999999997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2862304.6500000004</v>
      </c>
      <c r="G211" s="41">
        <f t="shared" si="1"/>
        <v>1539855.6199999999</v>
      </c>
      <c r="H211" s="41">
        <f t="shared" si="1"/>
        <v>1032718.8199999998</v>
      </c>
      <c r="I211" s="41">
        <f t="shared" si="1"/>
        <v>167301.804</v>
      </c>
      <c r="J211" s="41">
        <f t="shared" si="1"/>
        <v>86087.94</v>
      </c>
      <c r="K211" s="41">
        <f t="shared" si="1"/>
        <v>14297.039999999999</v>
      </c>
      <c r="L211" s="41">
        <f t="shared" si="1"/>
        <v>5702565.8739999989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28784.73</v>
      </c>
      <c r="G253" s="18">
        <v>4828.03</v>
      </c>
      <c r="H253" s="18"/>
      <c r="I253" s="18">
        <v>270.26</v>
      </c>
      <c r="J253" s="18"/>
      <c r="K253" s="18"/>
      <c r="L253" s="19">
        <f t="shared" si="6"/>
        <v>33883.020000000004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84568.86</v>
      </c>
      <c r="I255" s="18"/>
      <c r="J255" s="18"/>
      <c r="K255" s="18"/>
      <c r="L255" s="19">
        <f t="shared" si="6"/>
        <v>84568.86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28784.73</v>
      </c>
      <c r="G256" s="41">
        <f t="shared" si="7"/>
        <v>4828.03</v>
      </c>
      <c r="H256" s="41">
        <f t="shared" si="7"/>
        <v>84568.86</v>
      </c>
      <c r="I256" s="41">
        <f t="shared" si="7"/>
        <v>270.26</v>
      </c>
      <c r="J256" s="41">
        <f t="shared" si="7"/>
        <v>0</v>
      </c>
      <c r="K256" s="41">
        <f t="shared" si="7"/>
        <v>0</v>
      </c>
      <c r="L256" s="41">
        <f>SUM(F256:K256)</f>
        <v>118451.87999999999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2891089.3800000004</v>
      </c>
      <c r="G257" s="41">
        <f t="shared" si="8"/>
        <v>1544683.65</v>
      </c>
      <c r="H257" s="41">
        <f t="shared" si="8"/>
        <v>1117287.68</v>
      </c>
      <c r="I257" s="41">
        <f t="shared" si="8"/>
        <v>167572.06400000001</v>
      </c>
      <c r="J257" s="41">
        <f t="shared" si="8"/>
        <v>86087.94</v>
      </c>
      <c r="K257" s="41">
        <f t="shared" si="8"/>
        <v>14297.039999999999</v>
      </c>
      <c r="L257" s="41">
        <f t="shared" si="8"/>
        <v>5821017.7539999988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30000</v>
      </c>
      <c r="L263" s="19">
        <f>SUM(F263:K263)</f>
        <v>30000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2891089.3800000004</v>
      </c>
      <c r="G271" s="42">
        <f t="shared" si="11"/>
        <v>1544683.65</v>
      </c>
      <c r="H271" s="42">
        <f t="shared" si="11"/>
        <v>1117287.68</v>
      </c>
      <c r="I271" s="42">
        <f t="shared" si="11"/>
        <v>167572.06400000001</v>
      </c>
      <c r="J271" s="42">
        <f t="shared" si="11"/>
        <v>86087.94</v>
      </c>
      <c r="K271" s="42">
        <f t="shared" si="11"/>
        <v>44297.04</v>
      </c>
      <c r="L271" s="42">
        <f t="shared" si="11"/>
        <v>5851017.7539999988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46144.07</v>
      </c>
      <c r="G276" s="18">
        <v>24714.18</v>
      </c>
      <c r="H276" s="18"/>
      <c r="I276" s="18">
        <v>13507.35</v>
      </c>
      <c r="J276" s="18">
        <v>13424.37</v>
      </c>
      <c r="K276" s="18">
        <v>543</v>
      </c>
      <c r="L276" s="19">
        <f>SUM(F276:K276)</f>
        <v>98332.97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>
        <v>805.55</v>
      </c>
      <c r="K277" s="18"/>
      <c r="L277" s="19">
        <f>SUM(F277:K277)</f>
        <v>805.55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4731.1400000000003</v>
      </c>
      <c r="G279" s="18">
        <v>872.68</v>
      </c>
      <c r="H279" s="18"/>
      <c r="I279" s="18">
        <v>1963.23</v>
      </c>
      <c r="J279" s="18"/>
      <c r="K279" s="18">
        <v>550</v>
      </c>
      <c r="L279" s="19">
        <f>SUM(F279:K279)</f>
        <v>8117.0500000000011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4204.96</v>
      </c>
      <c r="I282" s="18"/>
      <c r="J282" s="18"/>
      <c r="K282" s="18"/>
      <c r="L282" s="19">
        <f t="shared" si="12"/>
        <v>4204.96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5060.76</v>
      </c>
      <c r="G283" s="18"/>
      <c r="H283" s="18"/>
      <c r="I283" s="18">
        <v>965.19</v>
      </c>
      <c r="J283" s="18"/>
      <c r="K283" s="18"/>
      <c r="L283" s="19">
        <f t="shared" si="12"/>
        <v>6025.9500000000007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1882.5</v>
      </c>
      <c r="L285" s="19">
        <f t="shared" si="12"/>
        <v>1882.5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968</v>
      </c>
      <c r="I287" s="18"/>
      <c r="J287" s="18"/>
      <c r="K287" s="18"/>
      <c r="L287" s="19">
        <f t="shared" si="12"/>
        <v>968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55935.97</v>
      </c>
      <c r="G290" s="42">
        <f t="shared" si="13"/>
        <v>25586.86</v>
      </c>
      <c r="H290" s="42">
        <f t="shared" si="13"/>
        <v>5172.96</v>
      </c>
      <c r="I290" s="42">
        <f t="shared" si="13"/>
        <v>16435.77</v>
      </c>
      <c r="J290" s="42">
        <f t="shared" si="13"/>
        <v>14229.92</v>
      </c>
      <c r="K290" s="42">
        <f t="shared" si="13"/>
        <v>2975.5</v>
      </c>
      <c r="L290" s="41">
        <f t="shared" si="13"/>
        <v>120336.98000000001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55935.97</v>
      </c>
      <c r="G338" s="41">
        <f t="shared" si="20"/>
        <v>25586.86</v>
      </c>
      <c r="H338" s="41">
        <f t="shared" si="20"/>
        <v>5172.96</v>
      </c>
      <c r="I338" s="41">
        <f t="shared" si="20"/>
        <v>16435.77</v>
      </c>
      <c r="J338" s="41">
        <f t="shared" si="20"/>
        <v>14229.92</v>
      </c>
      <c r="K338" s="41">
        <f t="shared" si="20"/>
        <v>2975.5</v>
      </c>
      <c r="L338" s="41">
        <f t="shared" si="20"/>
        <v>120336.98000000001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55935.97</v>
      </c>
      <c r="G352" s="41">
        <f>G338</f>
        <v>25586.86</v>
      </c>
      <c r="H352" s="41">
        <f>H338</f>
        <v>5172.96</v>
      </c>
      <c r="I352" s="41">
        <f>I338</f>
        <v>16435.77</v>
      </c>
      <c r="J352" s="41">
        <f>J338</f>
        <v>14229.92</v>
      </c>
      <c r="K352" s="47">
        <f>K338+K351</f>
        <v>2975.5</v>
      </c>
      <c r="L352" s="41">
        <f>L338+L351</f>
        <v>120336.98000000001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122396.57</v>
      </c>
      <c r="I358" s="18"/>
      <c r="J358" s="18"/>
      <c r="K358" s="18"/>
      <c r="L358" s="13">
        <f>SUM(F358:K358)</f>
        <v>122396.57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122396.57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122396.57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7.97</v>
      </c>
      <c r="I389" s="18"/>
      <c r="J389" s="24" t="s">
        <v>286</v>
      </c>
      <c r="K389" s="24" t="s">
        <v>286</v>
      </c>
      <c r="L389" s="56">
        <f t="shared" si="25"/>
        <v>7.97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1.58</v>
      </c>
      <c r="I392" s="18"/>
      <c r="J392" s="24" t="s">
        <v>286</v>
      </c>
      <c r="K392" s="24" t="s">
        <v>286</v>
      </c>
      <c r="L392" s="56">
        <f t="shared" si="25"/>
        <v>1.58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9.5500000000000007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9.5500000000000007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9.5500000000000007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9.5500000000000007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984.16</v>
      </c>
      <c r="G440" s="18"/>
      <c r="H440" s="18"/>
      <c r="I440" s="56">
        <f t="shared" si="33"/>
        <v>984.16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984.16</v>
      </c>
      <c r="G446" s="13">
        <f>SUM(G439:G445)</f>
        <v>0</v>
      </c>
      <c r="H446" s="13">
        <f>SUM(H439:H445)</f>
        <v>0</v>
      </c>
      <c r="I446" s="13">
        <f>SUM(I439:I445)</f>
        <v>984.16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984.16</v>
      </c>
      <c r="G459" s="18"/>
      <c r="H459" s="18"/>
      <c r="I459" s="56">
        <f t="shared" si="34"/>
        <v>984.16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984.16</v>
      </c>
      <c r="G460" s="83">
        <f>SUM(G454:G459)</f>
        <v>0</v>
      </c>
      <c r="H460" s="83">
        <f>SUM(H454:H459)</f>
        <v>0</v>
      </c>
      <c r="I460" s="83">
        <f>SUM(I454:I459)</f>
        <v>984.16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984.16</v>
      </c>
      <c r="G461" s="42">
        <f>G452+G460</f>
        <v>0</v>
      </c>
      <c r="H461" s="42">
        <f>H452+H460</f>
        <v>0</v>
      </c>
      <c r="I461" s="42">
        <f>I452+I460</f>
        <v>984.16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200755.48</v>
      </c>
      <c r="G465" s="18">
        <v>4671.6099999999997</v>
      </c>
      <c r="H465" s="18">
        <v>282.83</v>
      </c>
      <c r="I465" s="18"/>
      <c r="J465" s="18">
        <v>974.61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5813787.3700000001</v>
      </c>
      <c r="G468" s="18">
        <v>123947.86</v>
      </c>
      <c r="H468" s="18">
        <v>119373.16</v>
      </c>
      <c r="I468" s="18"/>
      <c r="J468" s="18">
        <v>9.5500000000000007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5813787.3700000001</v>
      </c>
      <c r="G470" s="53">
        <f>SUM(G468:G469)</f>
        <v>123947.86</v>
      </c>
      <c r="H470" s="53">
        <f>SUM(H468:H469)</f>
        <v>119373.16</v>
      </c>
      <c r="I470" s="53">
        <f>SUM(I468:I469)</f>
        <v>0</v>
      </c>
      <c r="J470" s="53">
        <f>SUM(J468:J469)</f>
        <v>9.5500000000000007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5851017.75</v>
      </c>
      <c r="G472" s="18">
        <v>122396.57</v>
      </c>
      <c r="H472" s="18">
        <v>120336.98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5851017.75</v>
      </c>
      <c r="G474" s="53">
        <f>SUM(G472:G473)</f>
        <v>122396.57</v>
      </c>
      <c r="H474" s="53">
        <f>SUM(H472:H473)</f>
        <v>120336.98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163525.10000000056</v>
      </c>
      <c r="G476" s="53">
        <f>(G465+G470)- G474</f>
        <v>6222.8999999999942</v>
      </c>
      <c r="H476" s="53">
        <f>(H465+H470)- H474</f>
        <v>-680.98999999999069</v>
      </c>
      <c r="I476" s="53">
        <f>(I465+I470)- I474</f>
        <v>0</v>
      </c>
      <c r="J476" s="53">
        <f>(J465+J470)- J474</f>
        <v>984.16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528732.86</v>
      </c>
      <c r="G521" s="18">
        <v>197802.34</v>
      </c>
      <c r="H521" s="18">
        <v>121251.09</v>
      </c>
      <c r="I521" s="18">
        <v>1761.88</v>
      </c>
      <c r="J521" s="18">
        <v>597.13</v>
      </c>
      <c r="K521" s="18">
        <v>530</v>
      </c>
      <c r="L521" s="88">
        <f>SUM(F521:K521)</f>
        <v>850675.29999999993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528732.86</v>
      </c>
      <c r="G524" s="108">
        <f t="shared" ref="G524:L524" si="36">SUM(G521:G523)</f>
        <v>197802.34</v>
      </c>
      <c r="H524" s="108">
        <f t="shared" si="36"/>
        <v>121251.09</v>
      </c>
      <c r="I524" s="108">
        <f t="shared" si="36"/>
        <v>1761.88</v>
      </c>
      <c r="J524" s="108">
        <f t="shared" si="36"/>
        <v>597.13</v>
      </c>
      <c r="K524" s="108">
        <f t="shared" si="36"/>
        <v>530</v>
      </c>
      <c r="L524" s="89">
        <f t="shared" si="36"/>
        <v>850675.29999999993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79179.399999999994</v>
      </c>
      <c r="G526" s="18">
        <v>41236.050000000003</v>
      </c>
      <c r="H526" s="18">
        <v>281682.53999999998</v>
      </c>
      <c r="I526" s="18">
        <v>1729.21</v>
      </c>
      <c r="J526" s="18"/>
      <c r="K526" s="18"/>
      <c r="L526" s="88">
        <f>SUM(F526:K526)</f>
        <v>403827.20000000001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79179.399999999994</v>
      </c>
      <c r="G529" s="89">
        <f t="shared" ref="G529:L529" si="37">SUM(G526:G528)</f>
        <v>41236.050000000003</v>
      </c>
      <c r="H529" s="89">
        <f t="shared" si="37"/>
        <v>281682.53999999998</v>
      </c>
      <c r="I529" s="89">
        <f t="shared" si="37"/>
        <v>1729.21</v>
      </c>
      <c r="J529" s="89">
        <f t="shared" si="37"/>
        <v>0</v>
      </c>
      <c r="K529" s="89">
        <f t="shared" si="37"/>
        <v>0</v>
      </c>
      <c r="L529" s="89">
        <f t="shared" si="37"/>
        <v>403827.20000000001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15712.14</v>
      </c>
      <c r="G531" s="18">
        <v>6978.74</v>
      </c>
      <c r="H531" s="18"/>
      <c r="I531" s="18"/>
      <c r="J531" s="18"/>
      <c r="K531" s="18"/>
      <c r="L531" s="88">
        <f>SUM(F531:K531)</f>
        <v>22690.879999999997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15712.14</v>
      </c>
      <c r="G534" s="89">
        <f t="shared" ref="G534:L534" si="38">SUM(G531:G533)</f>
        <v>6978.74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22690.879999999997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34165</v>
      </c>
      <c r="I541" s="18"/>
      <c r="J541" s="18"/>
      <c r="K541" s="18"/>
      <c r="L541" s="88">
        <f>SUM(F541:K541)</f>
        <v>34165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34165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34165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623624.4</v>
      </c>
      <c r="G545" s="89">
        <f t="shared" ref="G545:L545" si="41">G524+G529+G534+G539+G544</f>
        <v>246017.13</v>
      </c>
      <c r="H545" s="89">
        <f t="shared" si="41"/>
        <v>437098.63</v>
      </c>
      <c r="I545" s="89">
        <f t="shared" si="41"/>
        <v>3491.09</v>
      </c>
      <c r="J545" s="89">
        <f t="shared" si="41"/>
        <v>597.13</v>
      </c>
      <c r="K545" s="89">
        <f t="shared" si="41"/>
        <v>530</v>
      </c>
      <c r="L545" s="89">
        <f t="shared" si="41"/>
        <v>1311358.3799999999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850675.29999999993</v>
      </c>
      <c r="G549" s="87">
        <f>L526</f>
        <v>403827.20000000001</v>
      </c>
      <c r="H549" s="87">
        <f>L531</f>
        <v>22690.879999999997</v>
      </c>
      <c r="I549" s="87">
        <f>L536</f>
        <v>0</v>
      </c>
      <c r="J549" s="87">
        <f>L541</f>
        <v>34165</v>
      </c>
      <c r="K549" s="87">
        <f>SUM(F549:J549)</f>
        <v>1311358.3799999999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850675.29999999993</v>
      </c>
      <c r="G552" s="89">
        <f t="shared" si="42"/>
        <v>403827.20000000001</v>
      </c>
      <c r="H552" s="89">
        <f t="shared" si="42"/>
        <v>22690.879999999997</v>
      </c>
      <c r="I552" s="89">
        <f t="shared" si="42"/>
        <v>0</v>
      </c>
      <c r="J552" s="89">
        <f t="shared" si="42"/>
        <v>34165</v>
      </c>
      <c r="K552" s="89">
        <f t="shared" si="42"/>
        <v>1311358.3799999999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29125.23</v>
      </c>
      <c r="G579" s="18"/>
      <c r="H579" s="18"/>
      <c r="I579" s="87">
        <f t="shared" si="47"/>
        <v>29125.23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231168.85</v>
      </c>
      <c r="I591" s="18"/>
      <c r="J591" s="18"/>
      <c r="K591" s="104">
        <f t="shared" ref="K591:K597" si="48">SUM(H591:J591)</f>
        <v>231168.85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34165</v>
      </c>
      <c r="I592" s="18"/>
      <c r="J592" s="18"/>
      <c r="K592" s="104">
        <f t="shared" si="48"/>
        <v>34165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6002</v>
      </c>
      <c r="I594" s="18"/>
      <c r="J594" s="18"/>
      <c r="K594" s="104">
        <f t="shared" si="48"/>
        <v>6002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5964.06</v>
      </c>
      <c r="I595" s="18"/>
      <c r="J595" s="18"/>
      <c r="K595" s="104">
        <f t="shared" si="48"/>
        <v>5964.06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277299.90999999997</v>
      </c>
      <c r="I598" s="108">
        <f>SUM(I591:I597)</f>
        <v>0</v>
      </c>
      <c r="J598" s="108">
        <f>SUM(J591:J597)</f>
        <v>0</v>
      </c>
      <c r="K598" s="108">
        <f>SUM(K591:K597)</f>
        <v>277299.90999999997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100317.86</v>
      </c>
      <c r="I604" s="18"/>
      <c r="J604" s="18"/>
      <c r="K604" s="104">
        <f>SUM(H604:J604)</f>
        <v>100317.86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100317.86</v>
      </c>
      <c r="I605" s="108">
        <f>SUM(I602:I604)</f>
        <v>0</v>
      </c>
      <c r="J605" s="108">
        <f>SUM(J602:J604)</f>
        <v>0</v>
      </c>
      <c r="K605" s="108">
        <f>SUM(K602:K604)</f>
        <v>100317.86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191404.65999999997</v>
      </c>
      <c r="H617" s="109">
        <f>SUM(F52)</f>
        <v>191404.66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6222.9000000000015</v>
      </c>
      <c r="H618" s="109">
        <f>SUM(G52)</f>
        <v>6222.9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6408.909999999998</v>
      </c>
      <c r="H619" s="109">
        <f>SUM(H52)</f>
        <v>6408.91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984.16</v>
      </c>
      <c r="H621" s="109">
        <f>SUM(J52)</f>
        <v>984.16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163525.1</v>
      </c>
      <c r="H622" s="109">
        <f>F476</f>
        <v>163525.10000000056</v>
      </c>
      <c r="I622" s="121" t="s">
        <v>101</v>
      </c>
      <c r="J622" s="109">
        <f t="shared" ref="J622:J655" si="50">G622-H622</f>
        <v>-5.5297277867794037E-10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6222.9</v>
      </c>
      <c r="H623" s="109">
        <f>G476</f>
        <v>6222.8999999999942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-680.9899999999999</v>
      </c>
      <c r="H624" s="109">
        <f>H476</f>
        <v>-680.98999999999069</v>
      </c>
      <c r="I624" s="121" t="s">
        <v>103</v>
      </c>
      <c r="J624" s="109">
        <f t="shared" si="50"/>
        <v>-9.2086338554508984E-12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984.16</v>
      </c>
      <c r="H626" s="109">
        <f>J476</f>
        <v>984.16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5813787.3700000001</v>
      </c>
      <c r="H627" s="104">
        <f>SUM(F468)</f>
        <v>5813787.3700000001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123947.86</v>
      </c>
      <c r="H628" s="104">
        <f>SUM(G468)</f>
        <v>123947.86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119373.16</v>
      </c>
      <c r="H629" s="104">
        <f>SUM(H468)</f>
        <v>119373.16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9.5500000000000007</v>
      </c>
      <c r="H631" s="104">
        <f>SUM(J468)</f>
        <v>9.5500000000000007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5851017.7539999988</v>
      </c>
      <c r="H632" s="104">
        <f>SUM(F472)</f>
        <v>5851017.75</v>
      </c>
      <c r="I632" s="140" t="s">
        <v>111</v>
      </c>
      <c r="J632" s="109">
        <f t="shared" si="50"/>
        <v>3.9999987930059433E-3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120336.98000000001</v>
      </c>
      <c r="H633" s="104">
        <f>SUM(H472)</f>
        <v>120336.98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122396.57</v>
      </c>
      <c r="H635" s="104">
        <f>SUM(G472)</f>
        <v>122396.57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9.5500000000000007</v>
      </c>
      <c r="H637" s="164">
        <f>SUM(J468)</f>
        <v>9.5500000000000007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984.16</v>
      </c>
      <c r="H639" s="104">
        <f>SUM(F461)</f>
        <v>984.16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984.16</v>
      </c>
      <c r="H642" s="104">
        <f>SUM(I461)</f>
        <v>984.16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9.5500000000000007</v>
      </c>
      <c r="H644" s="104">
        <f>H408</f>
        <v>9.5500000000000007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9.5500000000000007</v>
      </c>
      <c r="H646" s="104">
        <f>L408</f>
        <v>9.5500000000000007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277299.90999999997</v>
      </c>
      <c r="H647" s="104">
        <f>L208+L226+L244</f>
        <v>277299.90999999997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100317.86</v>
      </c>
      <c r="H648" s="104">
        <f>(J257+J338)-(J255+J336)</f>
        <v>100317.86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277299.90999999997</v>
      </c>
      <c r="H649" s="104">
        <f>H598</f>
        <v>277299.90999999997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30000</v>
      </c>
      <c r="H652" s="104">
        <f>K263+K345</f>
        <v>30000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3.9999969303607941E-3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5945299.4239999996</v>
      </c>
      <c r="G660" s="19">
        <f>(L229+L309+L359)</f>
        <v>0</v>
      </c>
      <c r="H660" s="19">
        <f>(L247+L328+L360)</f>
        <v>0</v>
      </c>
      <c r="I660" s="19">
        <f>SUM(F660:H660)</f>
        <v>5945299.4239999996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38673.410000000003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38673.410000000003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278267.90999999997</v>
      </c>
      <c r="G662" s="19">
        <f>(L226+L306)-(J226+J306)</f>
        <v>0</v>
      </c>
      <c r="H662" s="19">
        <f>(L244+L325)-(J244+J325)</f>
        <v>0</v>
      </c>
      <c r="I662" s="19">
        <f>SUM(F662:H662)</f>
        <v>278267.90999999997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129443.09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129443.09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5498915.0139999995</v>
      </c>
      <c r="G664" s="19">
        <f>G660-SUM(G661:G663)</f>
        <v>0</v>
      </c>
      <c r="H664" s="19">
        <f>H660-SUM(H661:H663)</f>
        <v>0</v>
      </c>
      <c r="I664" s="19">
        <f>I660-SUM(I661:I663)</f>
        <v>5498915.0139999995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301.88</v>
      </c>
      <c r="G665" s="248"/>
      <c r="H665" s="248"/>
      <c r="I665" s="19">
        <f>SUM(F665:H665)</f>
        <v>301.88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18215.57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18215.57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18215.57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18215.57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Campton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1797986.12</v>
      </c>
      <c r="C9" s="229">
        <f>'DOE25'!G197+'DOE25'!G215+'DOE25'!G233+'DOE25'!G276+'DOE25'!G295+'DOE25'!G314</f>
        <v>1070848.5900000001</v>
      </c>
    </row>
    <row r="10" spans="1:3" x14ac:dyDescent="0.2">
      <c r="A10" t="s">
        <v>773</v>
      </c>
      <c r="B10" s="240">
        <v>1732708.48</v>
      </c>
      <c r="C10" s="240">
        <v>1062825.5900000001</v>
      </c>
    </row>
    <row r="11" spans="1:3" x14ac:dyDescent="0.2">
      <c r="A11" t="s">
        <v>774</v>
      </c>
      <c r="B11" s="240">
        <v>65277.64</v>
      </c>
      <c r="C11" s="240">
        <v>8023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1797986.1199999999</v>
      </c>
      <c r="C13" s="231">
        <f>SUM(C10:C12)</f>
        <v>1070848.5900000001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528732.86</v>
      </c>
      <c r="C18" s="229">
        <f>'DOE25'!G198+'DOE25'!G216+'DOE25'!G234+'DOE25'!G277+'DOE25'!G296+'DOE25'!G315</f>
        <v>197802.34</v>
      </c>
    </row>
    <row r="19" spans="1:3" x14ac:dyDescent="0.2">
      <c r="A19" t="s">
        <v>773</v>
      </c>
      <c r="B19" s="240">
        <v>238451</v>
      </c>
      <c r="C19" s="240">
        <v>90540.61</v>
      </c>
    </row>
    <row r="20" spans="1:3" x14ac:dyDescent="0.2">
      <c r="A20" t="s">
        <v>774</v>
      </c>
      <c r="B20" s="240">
        <v>263565</v>
      </c>
      <c r="C20" s="240">
        <v>100864.94</v>
      </c>
    </row>
    <row r="21" spans="1:3" x14ac:dyDescent="0.2">
      <c r="A21" t="s">
        <v>775</v>
      </c>
      <c r="B21" s="240">
        <v>26716.86</v>
      </c>
      <c r="C21" s="240">
        <v>6396.79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528732.86</v>
      </c>
      <c r="C22" s="231">
        <f>SUM(C19:C21)</f>
        <v>197802.34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61253.760000000002</v>
      </c>
      <c r="C36" s="235">
        <f>'DOE25'!G200+'DOE25'!G218+'DOE25'!G236+'DOE25'!G279+'DOE25'!G298+'DOE25'!G317</f>
        <v>13110.220000000001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61253.760000000002</v>
      </c>
      <c r="C39" s="240">
        <v>13110.22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61253.760000000002</v>
      </c>
      <c r="C40" s="231">
        <f>SUM(C37:C39)</f>
        <v>13110.22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Campton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3857314.8499999996</v>
      </c>
      <c r="D5" s="20">
        <f>SUM('DOE25'!L197:L200)+SUM('DOE25'!L215:L218)+SUM('DOE25'!L233:L236)-F5-G5</f>
        <v>3798364.9199999995</v>
      </c>
      <c r="E5" s="243"/>
      <c r="F5" s="255">
        <f>SUM('DOE25'!J197:J200)+SUM('DOE25'!J215:J218)+SUM('DOE25'!J233:J236)</f>
        <v>54216.99</v>
      </c>
      <c r="G5" s="53">
        <f>SUM('DOE25'!K197:K200)+SUM('DOE25'!K215:K218)+SUM('DOE25'!K233:K236)</f>
        <v>4732.9400000000005</v>
      </c>
      <c r="H5" s="259"/>
    </row>
    <row r="6" spans="1:9" x14ac:dyDescent="0.2">
      <c r="A6" s="32">
        <v>2100</v>
      </c>
      <c r="B6" t="s">
        <v>795</v>
      </c>
      <c r="C6" s="245">
        <f t="shared" si="0"/>
        <v>475339.63999999996</v>
      </c>
      <c r="D6" s="20">
        <f>'DOE25'!L202+'DOE25'!L220+'DOE25'!L238-F6-G6</f>
        <v>471569.63999999996</v>
      </c>
      <c r="E6" s="243"/>
      <c r="F6" s="255">
        <f>'DOE25'!J202+'DOE25'!J220+'DOE25'!J238</f>
        <v>0</v>
      </c>
      <c r="G6" s="53">
        <f>'DOE25'!K202+'DOE25'!K220+'DOE25'!K238</f>
        <v>3770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118155.42000000001</v>
      </c>
      <c r="D7" s="20">
        <f>'DOE25'!L203+'DOE25'!L221+'DOE25'!L239-F7-G7</f>
        <v>118155.42000000001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122087.14000000001</v>
      </c>
      <c r="D8" s="243"/>
      <c r="E8" s="20">
        <f>'DOE25'!L204+'DOE25'!L222+'DOE25'!L240-F8-G8-D9-D11</f>
        <v>119047.35000000002</v>
      </c>
      <c r="F8" s="255">
        <f>'DOE25'!J204+'DOE25'!J222+'DOE25'!J240</f>
        <v>0</v>
      </c>
      <c r="G8" s="53">
        <f>'DOE25'!K204+'DOE25'!K222+'DOE25'!K240</f>
        <v>3039.79</v>
      </c>
      <c r="H8" s="259"/>
    </row>
    <row r="9" spans="1:9" x14ac:dyDescent="0.2">
      <c r="A9" s="32">
        <v>2310</v>
      </c>
      <c r="B9" t="s">
        <v>812</v>
      </c>
      <c r="C9" s="245">
        <f t="shared" si="0"/>
        <v>20991.93</v>
      </c>
      <c r="D9" s="244">
        <v>20991.93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5575</v>
      </c>
      <c r="D10" s="243"/>
      <c r="E10" s="244">
        <v>5575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82416.86</v>
      </c>
      <c r="D11" s="244">
        <v>82416.86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371662.89</v>
      </c>
      <c r="D12" s="20">
        <f>'DOE25'!L205+'DOE25'!L223+'DOE25'!L241-F12-G12</f>
        <v>368908.58</v>
      </c>
      <c r="E12" s="243"/>
      <c r="F12" s="255">
        <f>'DOE25'!J205+'DOE25'!J223+'DOE25'!J241</f>
        <v>0</v>
      </c>
      <c r="G12" s="53">
        <f>'DOE25'!K205+'DOE25'!K223+'DOE25'!K241</f>
        <v>2754.31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377297.234</v>
      </c>
      <c r="D14" s="20">
        <f>'DOE25'!L207+'DOE25'!L225+'DOE25'!L243-F14-G14</f>
        <v>345426.28399999999</v>
      </c>
      <c r="E14" s="243"/>
      <c r="F14" s="255">
        <f>'DOE25'!J207+'DOE25'!J225+'DOE25'!J243</f>
        <v>31870.95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277299.90999999997</v>
      </c>
      <c r="D15" s="20">
        <f>'DOE25'!L208+'DOE25'!L226+'DOE25'!L244-F15-G15</f>
        <v>277299.90999999997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33883.020000000004</v>
      </c>
      <c r="D19" s="20">
        <f>'DOE25'!L253-F19-G19</f>
        <v>33883.020000000004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84568.86</v>
      </c>
      <c r="D22" s="243"/>
      <c r="E22" s="243"/>
      <c r="F22" s="255">
        <f>'DOE25'!L255+'DOE25'!L336</f>
        <v>84568.86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122396.57</v>
      </c>
      <c r="D29" s="20">
        <f>'DOE25'!L358+'DOE25'!L359+'DOE25'!L360-'DOE25'!I367-F29-G29</f>
        <v>122396.57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120336.98000000001</v>
      </c>
      <c r="D31" s="20">
        <f>'DOE25'!L290+'DOE25'!L309+'DOE25'!L328+'DOE25'!L333+'DOE25'!L334+'DOE25'!L335-F31-G31</f>
        <v>103131.56000000001</v>
      </c>
      <c r="E31" s="243"/>
      <c r="F31" s="255">
        <f>'DOE25'!J290+'DOE25'!J309+'DOE25'!J328+'DOE25'!J333+'DOE25'!J334+'DOE25'!J335</f>
        <v>14229.92</v>
      </c>
      <c r="G31" s="53">
        <f>'DOE25'!K290+'DOE25'!K309+'DOE25'!K328+'DOE25'!K333+'DOE25'!K334+'DOE25'!K335</f>
        <v>2975.5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5742544.6939999992</v>
      </c>
      <c r="E33" s="246">
        <f>SUM(E5:E31)</f>
        <v>124622.35000000002</v>
      </c>
      <c r="F33" s="246">
        <f>SUM(F5:F31)</f>
        <v>184886.72</v>
      </c>
      <c r="G33" s="246">
        <f>SUM(G5:G31)</f>
        <v>17272.54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124622.35000000002</v>
      </c>
      <c r="E35" s="249"/>
    </row>
    <row r="36" spans="2:8" ht="12" thickTop="1" x14ac:dyDescent="0.2">
      <c r="B36" t="s">
        <v>809</v>
      </c>
      <c r="D36" s="20">
        <f>D33</f>
        <v>5742544.6939999992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179930.44</v>
      </c>
      <c r="D8" s="95">
        <f>'DOE25'!G9</f>
        <v>-48027.09</v>
      </c>
      <c r="E8" s="95">
        <f>'DOE25'!H9</f>
        <v>-13154.35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984.16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2619.61</v>
      </c>
      <c r="D12" s="95">
        <f>'DOE25'!G13</f>
        <v>54233.49</v>
      </c>
      <c r="E12" s="95">
        <f>'DOE25'!H13</f>
        <v>19563.259999999998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5631.05</v>
      </c>
      <c r="D13" s="95">
        <f>'DOE25'!G14</f>
        <v>16.5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3223.56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191404.65999999997</v>
      </c>
      <c r="D18" s="41">
        <f>SUM(D8:D17)</f>
        <v>6222.9000000000015</v>
      </c>
      <c r="E18" s="41">
        <f>SUM(E8:E17)</f>
        <v>6408.909999999998</v>
      </c>
      <c r="F18" s="41">
        <f>SUM(F8:F17)</f>
        <v>0</v>
      </c>
      <c r="G18" s="41">
        <f>SUM(G8:G17)</f>
        <v>984.16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21479.56</v>
      </c>
      <c r="D23" s="95">
        <f>'DOE25'!G24</f>
        <v>0</v>
      </c>
      <c r="E23" s="95">
        <f>'DOE25'!H24</f>
        <v>6163.5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6400</v>
      </c>
      <c r="D29" s="95">
        <f>'DOE25'!G30</f>
        <v>0</v>
      </c>
      <c r="E29" s="95">
        <f>'DOE25'!H30</f>
        <v>926.4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27879.56</v>
      </c>
      <c r="D31" s="41">
        <f>SUM(D21:D30)</f>
        <v>0</v>
      </c>
      <c r="E31" s="41">
        <f>SUM(E21:E30)</f>
        <v>7089.9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6222.9</v>
      </c>
      <c r="E47" s="95">
        <f>'DOE25'!H48</f>
        <v>-1217.8399999999999</v>
      </c>
      <c r="F47" s="95">
        <f>'DOE25'!I48</f>
        <v>0</v>
      </c>
      <c r="G47" s="95">
        <f>'DOE25'!J48</f>
        <v>984.16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88953</v>
      </c>
      <c r="D48" s="95">
        <f>'DOE25'!G49</f>
        <v>0</v>
      </c>
      <c r="E48" s="95">
        <f>'DOE25'!H49</f>
        <v>536.85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74572.100000000006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163525.1</v>
      </c>
      <c r="D50" s="41">
        <f>SUM(D34:D49)</f>
        <v>6222.9</v>
      </c>
      <c r="E50" s="41">
        <f>SUM(E34:E49)</f>
        <v>-680.9899999999999</v>
      </c>
      <c r="F50" s="41">
        <f>SUM(F34:F49)</f>
        <v>0</v>
      </c>
      <c r="G50" s="41">
        <f>SUM(G34:G49)</f>
        <v>984.16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191404.66</v>
      </c>
      <c r="D51" s="41">
        <f>D50+D31</f>
        <v>6222.9</v>
      </c>
      <c r="E51" s="41">
        <f>E50+E31</f>
        <v>6408.91</v>
      </c>
      <c r="F51" s="41">
        <f>F50+F31</f>
        <v>0</v>
      </c>
      <c r="G51" s="41">
        <f>G50+G31</f>
        <v>984.16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3991593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54723.4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44.91</v>
      </c>
      <c r="D59" s="95">
        <f>'DOE25'!G96</f>
        <v>2.17</v>
      </c>
      <c r="E59" s="95">
        <f>'DOE25'!H96</f>
        <v>0</v>
      </c>
      <c r="F59" s="95">
        <f>'DOE25'!I96</f>
        <v>0</v>
      </c>
      <c r="G59" s="95">
        <f>'DOE25'!J96</f>
        <v>9.5500000000000007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38673.410000000003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32257.95</v>
      </c>
      <c r="D61" s="95">
        <f>SUM('DOE25'!G98:G110)</f>
        <v>0</v>
      </c>
      <c r="E61" s="95">
        <f>SUM('DOE25'!H98:H110)</f>
        <v>2111.96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87026.260000000009</v>
      </c>
      <c r="D62" s="130">
        <f>SUM(D57:D61)</f>
        <v>38675.58</v>
      </c>
      <c r="E62" s="130">
        <f>SUM(E57:E61)</f>
        <v>2111.96</v>
      </c>
      <c r="F62" s="130">
        <f>SUM(F57:F61)</f>
        <v>0</v>
      </c>
      <c r="G62" s="130">
        <f>SUM(G57:G61)</f>
        <v>9.5500000000000007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4078619.26</v>
      </c>
      <c r="D63" s="22">
        <f>D56+D62</f>
        <v>38675.58</v>
      </c>
      <c r="E63" s="22">
        <f>E56+E62</f>
        <v>2111.96</v>
      </c>
      <c r="F63" s="22">
        <f>F56+F62</f>
        <v>0</v>
      </c>
      <c r="G63" s="22">
        <f>G56+G62</f>
        <v>9.5500000000000007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1105944.76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573468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11079.74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1690492.5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1421.17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1421.17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1690492.5</v>
      </c>
      <c r="D81" s="130">
        <f>SUM(D79:D80)+D78+D70</f>
        <v>1421.17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42858.48</v>
      </c>
      <c r="D88" s="95">
        <f>SUM('DOE25'!G153:G161)</f>
        <v>53851.11</v>
      </c>
      <c r="E88" s="95">
        <f>SUM('DOE25'!H153:H161)</f>
        <v>117261.2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1817.13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44675.61</v>
      </c>
      <c r="D91" s="131">
        <f>SUM(D85:D90)</f>
        <v>53851.11</v>
      </c>
      <c r="E91" s="131">
        <f>SUM(E85:E90)</f>
        <v>117261.2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30000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5813787.3700000001</v>
      </c>
      <c r="D104" s="86">
        <f>D63+D81+D91+D103</f>
        <v>123947.86</v>
      </c>
      <c r="E104" s="86">
        <f>E63+E81+E91+E103</f>
        <v>119373.16</v>
      </c>
      <c r="F104" s="86">
        <f>F63+F81+F91+F103</f>
        <v>0</v>
      </c>
      <c r="G104" s="86">
        <f>G63+G81+G103</f>
        <v>9.5500000000000007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2922804.94</v>
      </c>
      <c r="D109" s="24" t="s">
        <v>286</v>
      </c>
      <c r="E109" s="95">
        <f>('DOE25'!L276)+('DOE25'!L295)+('DOE25'!L314)</f>
        <v>98332.97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850675.29999999993</v>
      </c>
      <c r="D110" s="24" t="s">
        <v>286</v>
      </c>
      <c r="E110" s="95">
        <f>('DOE25'!L277)+('DOE25'!L296)+('DOE25'!L315)</f>
        <v>805.55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83834.61</v>
      </c>
      <c r="D112" s="24" t="s">
        <v>286</v>
      </c>
      <c r="E112" s="95">
        <f>+('DOE25'!L279)+('DOE25'!L298)+('DOE25'!L317)</f>
        <v>8117.0500000000011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33883.020000000004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3891197.8699999996</v>
      </c>
      <c r="D115" s="86">
        <f>SUM(D109:D114)</f>
        <v>0</v>
      </c>
      <c r="E115" s="86">
        <f>SUM(E109:E114)</f>
        <v>107255.57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475339.63999999996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118155.42000000001</v>
      </c>
      <c r="D119" s="24" t="s">
        <v>286</v>
      </c>
      <c r="E119" s="95">
        <f>+('DOE25'!L282)+('DOE25'!L301)+('DOE25'!L320)</f>
        <v>4204.96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225495.93000000002</v>
      </c>
      <c r="D120" s="24" t="s">
        <v>286</v>
      </c>
      <c r="E120" s="95">
        <f>+('DOE25'!L283)+('DOE25'!L302)+('DOE25'!L321)</f>
        <v>6025.9500000000007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371662.89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1882.5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377297.234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277299.90999999997</v>
      </c>
      <c r="D124" s="24" t="s">
        <v>286</v>
      </c>
      <c r="E124" s="95">
        <f>+('DOE25'!L287)+('DOE25'!L306)+('DOE25'!L325)</f>
        <v>968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122396.57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1845251.0239999997</v>
      </c>
      <c r="D128" s="86">
        <f>SUM(D118:D127)</f>
        <v>122396.57</v>
      </c>
      <c r="E128" s="86">
        <f>SUM(E118:E127)</f>
        <v>13081.41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84568.86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9.5500000000000007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-9.5500000000000007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114568.86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5851017.7539999997</v>
      </c>
      <c r="D145" s="86">
        <f>(D115+D128+D144)</f>
        <v>122396.57</v>
      </c>
      <c r="E145" s="86">
        <f>(E115+E128+E144)</f>
        <v>120336.98000000001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Campton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18216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18216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3021138</v>
      </c>
      <c r="D10" s="182">
        <f>ROUND((C10/$C$28)*100,1)</f>
        <v>50.9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851481</v>
      </c>
      <c r="D11" s="182">
        <f>ROUND((C11/$C$28)*100,1)</f>
        <v>14.3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91952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475340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122360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231522</v>
      </c>
      <c r="D17" s="182">
        <f t="shared" si="0"/>
        <v>3.9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371663</v>
      </c>
      <c r="D18" s="182">
        <f t="shared" si="0"/>
        <v>6.3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1883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377297</v>
      </c>
      <c r="D20" s="182">
        <f t="shared" si="0"/>
        <v>6.4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278268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33883</v>
      </c>
      <c r="D24" s="182">
        <f t="shared" si="0"/>
        <v>0.6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83723.59</v>
      </c>
      <c r="D27" s="182">
        <f t="shared" si="0"/>
        <v>1.4</v>
      </c>
    </row>
    <row r="28" spans="1:4" x14ac:dyDescent="0.2">
      <c r="B28" s="187" t="s">
        <v>717</v>
      </c>
      <c r="C28" s="180">
        <f>SUM(C10:C27)</f>
        <v>5940510.5899999999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84569</v>
      </c>
    </row>
    <row r="30" spans="1:4" x14ac:dyDescent="0.2">
      <c r="B30" s="187" t="s">
        <v>723</v>
      </c>
      <c r="C30" s="180">
        <f>SUM(C28:C29)</f>
        <v>6025079.5899999999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3991593</v>
      </c>
      <c r="D35" s="182">
        <f t="shared" ref="D35:D40" si="1">ROUND((C35/$C$41)*100,1)</f>
        <v>66.7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89149.939999999478</v>
      </c>
      <c r="D36" s="182">
        <f t="shared" si="1"/>
        <v>1.5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1679413</v>
      </c>
      <c r="D37" s="182">
        <f t="shared" si="1"/>
        <v>28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12501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215788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5988444.9399999995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Campton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2018-08-14T15:22:26Z</cp:lastPrinted>
  <dcterms:created xsi:type="dcterms:W3CDTF">1997-12-04T19:04:30Z</dcterms:created>
  <dcterms:modified xsi:type="dcterms:W3CDTF">2018-11-13T19:28:32Z</dcterms:modified>
</cp:coreProperties>
</file>