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4000" windowHeight="9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21" i="1" l="1"/>
  <c r="G521" i="1"/>
  <c r="F521" i="1"/>
  <c r="C20" i="12"/>
  <c r="B20" i="12"/>
  <c r="C10" i="12"/>
  <c r="B10" i="12"/>
  <c r="G567" i="1"/>
  <c r="G562" i="1"/>
  <c r="H582" i="1"/>
  <c r="F582" i="1"/>
  <c r="F367" i="1"/>
  <c r="F368" i="1"/>
  <c r="H208" i="1"/>
  <c r="H244" i="1"/>
  <c r="H234" i="1"/>
  <c r="H209" i="1"/>
  <c r="H207" i="1"/>
  <c r="H205" i="1"/>
  <c r="H204" i="1"/>
  <c r="H202" i="1"/>
  <c r="H200" i="1"/>
  <c r="H198" i="1"/>
  <c r="H197" i="1"/>
  <c r="K285" i="1"/>
  <c r="I282" i="1"/>
  <c r="H282" i="1"/>
  <c r="G282" i="1"/>
  <c r="I277" i="1"/>
  <c r="G276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G664" i="1"/>
  <c r="L611" i="1"/>
  <c r="F663" i="1"/>
  <c r="F664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L524" i="1"/>
  <c r="F549" i="1"/>
  <c r="L522" i="1"/>
  <c r="F550" i="1"/>
  <c r="K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D12" i="2"/>
  <c r="D13" i="2"/>
  <c r="D15" i="2"/>
  <c r="D16" i="2"/>
  <c r="D17" i="2"/>
  <c r="D18" i="2"/>
  <c r="E11" i="2"/>
  <c r="F11" i="2"/>
  <c r="I441" i="1"/>
  <c r="J12" i="1"/>
  <c r="G11" i="2"/>
  <c r="C12" i="2"/>
  <c r="E12" i="2"/>
  <c r="F12" i="2"/>
  <c r="I442" i="1"/>
  <c r="J13" i="1"/>
  <c r="G12" i="2"/>
  <c r="C13" i="2"/>
  <c r="E13" i="2"/>
  <c r="F13" i="2"/>
  <c r="I443" i="1"/>
  <c r="J14" i="1"/>
  <c r="G13" i="2"/>
  <c r="F14" i="2"/>
  <c r="C15" i="2"/>
  <c r="E15" i="2"/>
  <c r="F15" i="2"/>
  <c r="C16" i="2"/>
  <c r="E16" i="2"/>
  <c r="F16" i="2"/>
  <c r="I444" i="1"/>
  <c r="J17" i="1"/>
  <c r="C17" i="2"/>
  <c r="E17" i="2"/>
  <c r="F17" i="2"/>
  <c r="I445" i="1"/>
  <c r="J18" i="1"/>
  <c r="G17" i="2"/>
  <c r="C21" i="2"/>
  <c r="D21" i="2"/>
  <c r="E21" i="2"/>
  <c r="E22" i="2"/>
  <c r="E23" i="2"/>
  <c r="E24" i="2"/>
  <c r="E27" i="2"/>
  <c r="E28" i="2"/>
  <c r="E29" i="2"/>
  <c r="E30" i="2"/>
  <c r="E31" i="2"/>
  <c r="F21" i="2"/>
  <c r="I448" i="1"/>
  <c r="J22" i="1"/>
  <c r="C22" i="2"/>
  <c r="D22" i="2"/>
  <c r="F22" i="2"/>
  <c r="I449" i="1"/>
  <c r="J23" i="1"/>
  <c r="C23" i="2"/>
  <c r="D23" i="2"/>
  <c r="D24" i="2"/>
  <c r="D27" i="2"/>
  <c r="D28" i="2"/>
  <c r="D29" i="2"/>
  <c r="D30" i="2"/>
  <c r="D31" i="2"/>
  <c r="F23" i="2"/>
  <c r="I450" i="1"/>
  <c r="J24" i="1"/>
  <c r="G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C74" i="2"/>
  <c r="C75" i="2"/>
  <c r="C76" i="2"/>
  <c r="C77" i="2"/>
  <c r="C78" i="2"/>
  <c r="F73" i="2"/>
  <c r="E76" i="2"/>
  <c r="F76" i="2"/>
  <c r="D77" i="2"/>
  <c r="D78" i="2"/>
  <c r="E77" i="2"/>
  <c r="F77" i="2"/>
  <c r="G77" i="2"/>
  <c r="G78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C113" i="2"/>
  <c r="C114" i="2"/>
  <c r="C115" i="2"/>
  <c r="E112" i="2"/>
  <c r="E113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G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F32" i="1"/>
  <c r="F52" i="1"/>
  <c r="H617" i="1"/>
  <c r="G32" i="1"/>
  <c r="G52" i="1"/>
  <c r="H618" i="1"/>
  <c r="H32" i="1"/>
  <c r="I32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I229" i="1"/>
  <c r="I247" i="1"/>
  <c r="I256" i="1"/>
  <c r="I257" i="1"/>
  <c r="I271" i="1"/>
  <c r="J211" i="1"/>
  <c r="K211" i="1"/>
  <c r="F229" i="1"/>
  <c r="G229" i="1"/>
  <c r="H229" i="1"/>
  <c r="J229" i="1"/>
  <c r="K229" i="1"/>
  <c r="K247" i="1"/>
  <c r="K256" i="1"/>
  <c r="K257" i="1"/>
  <c r="K271" i="1"/>
  <c r="F247" i="1"/>
  <c r="F256" i="1"/>
  <c r="F257" i="1"/>
  <c r="F271" i="1"/>
  <c r="G247" i="1"/>
  <c r="H247" i="1"/>
  <c r="J247" i="1"/>
  <c r="G256" i="1"/>
  <c r="H256" i="1"/>
  <c r="J256" i="1"/>
  <c r="L256" i="1"/>
  <c r="L257" i="1"/>
  <c r="L270" i="1"/>
  <c r="L271" i="1"/>
  <c r="G632" i="1"/>
  <c r="F290" i="1"/>
  <c r="G290" i="1"/>
  <c r="G309" i="1"/>
  <c r="G328" i="1"/>
  <c r="G337" i="1"/>
  <c r="G338" i="1"/>
  <c r="G352" i="1"/>
  <c r="H290" i="1"/>
  <c r="I290" i="1"/>
  <c r="F309" i="1"/>
  <c r="H309" i="1"/>
  <c r="I309" i="1"/>
  <c r="F328" i="1"/>
  <c r="H328" i="1"/>
  <c r="I328" i="1"/>
  <c r="F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I369" i="1"/>
  <c r="H634" i="1"/>
  <c r="G634" i="1"/>
  <c r="J634" i="1"/>
  <c r="F369" i="1"/>
  <c r="G369" i="1"/>
  <c r="H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F461" i="1"/>
  <c r="H639" i="1"/>
  <c r="G460" i="1"/>
  <c r="H460" i="1"/>
  <c r="I460" i="1"/>
  <c r="G461" i="1"/>
  <c r="H461" i="1"/>
  <c r="H641" i="1"/>
  <c r="G641" i="1"/>
  <c r="J641" i="1"/>
  <c r="I461" i="1"/>
  <c r="F470" i="1"/>
  <c r="G470" i="1"/>
  <c r="H470" i="1"/>
  <c r="I470" i="1"/>
  <c r="J470" i="1"/>
  <c r="F474" i="1"/>
  <c r="G474" i="1"/>
  <c r="G476" i="1"/>
  <c r="H623" i="1"/>
  <c r="G623" i="1"/>
  <c r="J623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/>
  <c r="J524" i="1"/>
  <c r="K524" i="1"/>
  <c r="F529" i="1"/>
  <c r="G529" i="1"/>
  <c r="H529" i="1"/>
  <c r="I529" i="1"/>
  <c r="J529" i="1"/>
  <c r="K529" i="1"/>
  <c r="L529" i="1"/>
  <c r="F534" i="1"/>
  <c r="G534" i="1"/>
  <c r="G539" i="1"/>
  <c r="G544" i="1"/>
  <c r="G545" i="1"/>
  <c r="H534" i="1"/>
  <c r="I534" i="1"/>
  <c r="J534" i="1"/>
  <c r="K534" i="1"/>
  <c r="K545" i="1"/>
  <c r="L534" i="1"/>
  <c r="F539" i="1"/>
  <c r="H539" i="1"/>
  <c r="H544" i="1"/>
  <c r="I539" i="1"/>
  <c r="J539" i="1"/>
  <c r="K539" i="1"/>
  <c r="L539" i="1"/>
  <c r="F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0" i="1"/>
  <c r="F571" i="1"/>
  <c r="G565" i="1"/>
  <c r="H565" i="1"/>
  <c r="I565" i="1"/>
  <c r="J565" i="1"/>
  <c r="K565" i="1"/>
  <c r="L567" i="1"/>
  <c r="L568" i="1"/>
  <c r="L569" i="1"/>
  <c r="L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/>
  <c r="G647" i="1"/>
  <c r="H647" i="1"/>
  <c r="J64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2" i="1"/>
  <c r="H642" i="1"/>
  <c r="G643" i="1"/>
  <c r="H643" i="1"/>
  <c r="J643" i="1"/>
  <c r="G644" i="1"/>
  <c r="H644" i="1"/>
  <c r="G649" i="1"/>
  <c r="J649" i="1"/>
  <c r="G650" i="1"/>
  <c r="G651" i="1"/>
  <c r="G652" i="1"/>
  <c r="H652" i="1"/>
  <c r="G653" i="1"/>
  <c r="H653" i="1"/>
  <c r="G654" i="1"/>
  <c r="H654" i="1"/>
  <c r="H655" i="1"/>
  <c r="J655" i="1"/>
  <c r="F192" i="1"/>
  <c r="G164" i="2"/>
  <c r="C18" i="2"/>
  <c r="C26" i="10"/>
  <c r="L328" i="1"/>
  <c r="H660" i="1"/>
  <c r="H664" i="1"/>
  <c r="H672" i="1"/>
  <c r="L351" i="1"/>
  <c r="I662" i="1"/>
  <c r="L290" i="1"/>
  <c r="F660" i="1"/>
  <c r="A31" i="12"/>
  <c r="C70" i="2"/>
  <c r="D12" i="13"/>
  <c r="C12" i="13"/>
  <c r="D62" i="2"/>
  <c r="D63" i="2"/>
  <c r="D18" i="13"/>
  <c r="C18" i="13"/>
  <c r="D15" i="13"/>
  <c r="C15" i="13"/>
  <c r="D7" i="13"/>
  <c r="C7" i="13"/>
  <c r="D17" i="13"/>
  <c r="C17" i="13"/>
  <c r="D6" i="13"/>
  <c r="C6" i="13"/>
  <c r="E8" i="13"/>
  <c r="C8" i="13"/>
  <c r="C91" i="2"/>
  <c r="F78" i="2"/>
  <c r="F81" i="2"/>
  <c r="C128" i="2"/>
  <c r="D50" i="2"/>
  <c r="F18" i="2"/>
  <c r="G161" i="2"/>
  <c r="G156" i="2"/>
  <c r="E115" i="2"/>
  <c r="E103" i="2"/>
  <c r="D91" i="2"/>
  <c r="E62" i="2"/>
  <c r="E63" i="2"/>
  <c r="G62" i="2"/>
  <c r="D29" i="13"/>
  <c r="C29" i="13"/>
  <c r="D19" i="13"/>
  <c r="C19" i="13"/>
  <c r="D14" i="13"/>
  <c r="C14" i="13"/>
  <c r="E13" i="13"/>
  <c r="C13" i="13"/>
  <c r="E78" i="2"/>
  <c r="E81" i="2"/>
  <c r="J257" i="1"/>
  <c r="J271" i="1"/>
  <c r="H112" i="1"/>
  <c r="F112" i="1"/>
  <c r="J571" i="1"/>
  <c r="K571" i="1"/>
  <c r="L433" i="1"/>
  <c r="L419" i="1"/>
  <c r="D81" i="2"/>
  <c r="I169" i="1"/>
  <c r="H169" i="1"/>
  <c r="J644" i="1"/>
  <c r="J476" i="1"/>
  <c r="H626" i="1"/>
  <c r="H476" i="1"/>
  <c r="H624" i="1"/>
  <c r="F476" i="1"/>
  <c r="H622" i="1"/>
  <c r="J622" i="1"/>
  <c r="I476" i="1"/>
  <c r="H625" i="1"/>
  <c r="J625" i="1"/>
  <c r="F169" i="1"/>
  <c r="J140" i="1"/>
  <c r="H257" i="1"/>
  <c r="H271" i="1"/>
  <c r="I552" i="1"/>
  <c r="G22" i="2"/>
  <c r="C29" i="10"/>
  <c r="I661" i="1"/>
  <c r="H140" i="1"/>
  <c r="L401" i="1"/>
  <c r="C139" i="2"/>
  <c r="L393" i="1"/>
  <c r="F22" i="13"/>
  <c r="C22" i="13"/>
  <c r="H25" i="13"/>
  <c r="C25" i="13"/>
  <c r="J651" i="1"/>
  <c r="J640" i="1"/>
  <c r="H571" i="1"/>
  <c r="L560" i="1"/>
  <c r="J545" i="1"/>
  <c r="H338" i="1"/>
  <c r="H352" i="1"/>
  <c r="F338" i="1"/>
  <c r="F352" i="1"/>
  <c r="G192" i="1"/>
  <c r="H192" i="1"/>
  <c r="E128" i="2"/>
  <c r="C35" i="10"/>
  <c r="L309" i="1"/>
  <c r="D5" i="13"/>
  <c r="C5" i="13"/>
  <c r="E16" i="13"/>
  <c r="I571" i="1"/>
  <c r="J636" i="1"/>
  <c r="G36" i="2"/>
  <c r="L565" i="1"/>
  <c r="C138" i="2"/>
  <c r="C16" i="13"/>
  <c r="H33" i="13"/>
  <c r="J617" i="1"/>
  <c r="J639" i="1"/>
  <c r="G257" i="1"/>
  <c r="G271" i="1"/>
  <c r="G645" i="1"/>
  <c r="J645" i="1"/>
  <c r="G81" i="2"/>
  <c r="G624" i="1"/>
  <c r="J624" i="1"/>
  <c r="E33" i="13"/>
  <c r="D35" i="13"/>
  <c r="C81" i="2"/>
  <c r="C103" i="2"/>
  <c r="C104" i="2"/>
  <c r="L337" i="1"/>
  <c r="L338" i="1"/>
  <c r="L352" i="1"/>
  <c r="G633" i="1"/>
  <c r="J633" i="1"/>
  <c r="F62" i="2"/>
  <c r="F63" i="2"/>
  <c r="C23" i="10"/>
  <c r="G163" i="2"/>
  <c r="G162" i="2"/>
  <c r="G160" i="2"/>
  <c r="G159" i="2"/>
  <c r="G158" i="2"/>
  <c r="G103" i="2"/>
  <c r="F103" i="2"/>
  <c r="F91" i="2"/>
  <c r="E50" i="2"/>
  <c r="E51" i="2"/>
  <c r="C50" i="2"/>
  <c r="F31" i="2"/>
  <c r="C31" i="2"/>
  <c r="E18" i="2"/>
  <c r="E144" i="2"/>
  <c r="F50" i="2"/>
  <c r="E145" i="2"/>
  <c r="C24" i="10"/>
  <c r="G660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C6" i="10"/>
  <c r="F31" i="13"/>
  <c r="F33" i="13"/>
  <c r="I660" i="1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J618" i="1"/>
  <c r="C5" i="10"/>
  <c r="G42" i="2"/>
  <c r="J51" i="1"/>
  <c r="G16" i="2"/>
  <c r="J19" i="1"/>
  <c r="G621" i="1"/>
  <c r="G18" i="2"/>
  <c r="F545" i="1"/>
  <c r="H434" i="1"/>
  <c r="J620" i="1"/>
  <c r="J619" i="1"/>
  <c r="D103" i="2"/>
  <c r="D104" i="2"/>
  <c r="I140" i="1"/>
  <c r="I193" i="1"/>
  <c r="G630" i="1"/>
  <c r="J630" i="1"/>
  <c r="H646" i="1"/>
  <c r="G50" i="2"/>
  <c r="G51" i="2"/>
  <c r="H648" i="1"/>
  <c r="J648" i="1"/>
  <c r="J652" i="1"/>
  <c r="J642" i="1"/>
  <c r="G571" i="1"/>
  <c r="I434" i="1"/>
  <c r="G434" i="1"/>
  <c r="E104" i="2"/>
  <c r="C27" i="10"/>
  <c r="C28" i="10"/>
  <c r="G635" i="1"/>
  <c r="J635" i="1"/>
  <c r="D31" i="13"/>
  <c r="C31" i="13"/>
  <c r="G104" i="2"/>
  <c r="F51" i="2"/>
  <c r="C51" i="2"/>
  <c r="G631" i="1"/>
  <c r="J631" i="1"/>
  <c r="J646" i="1"/>
  <c r="G193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/>
  <c r="D36" i="13"/>
  <c r="H656" i="1"/>
  <c r="D28" i="10"/>
  <c r="C41" i="10"/>
  <c r="D38" i="10"/>
  <c r="D37" i="10"/>
  <c r="D36" i="10"/>
  <c r="D35" i="10"/>
  <c r="D40" i="10"/>
  <c r="D39" i="10"/>
  <c r="D41" i="10"/>
  <c r="G552" i="1"/>
  <c r="J552" i="1"/>
  <c r="K551" i="1"/>
  <c r="L545" i="1"/>
  <c r="H545" i="1"/>
  <c r="F552" i="1"/>
  <c r="H552" i="1"/>
  <c r="K549" i="1"/>
  <c r="K552" i="1"/>
  <c r="F667" i="1"/>
  <c r="F672" i="1"/>
  <c r="C4" i="10" s="1"/>
  <c r="G667" i="1"/>
  <c r="G672" i="1"/>
  <c r="H667" i="1"/>
  <c r="I663" i="1"/>
  <c r="I664" i="1"/>
  <c r="A40" i="12"/>
  <c r="A13" i="12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<sst xmlns="http://schemas.openxmlformats.org/spreadsheetml/2006/main" count="3957" uniqueCount="913">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</sst>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6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79</v>
      </c>
      <c r="C2" s="21">
        <v>79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543244.06999999995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41569.94</v>
      </c>
      <c r="G12" s="18">
        <v>8593.74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9465.3700000000008</v>
      </c>
      <c r="G13" s="18">
        <v>3693.44</v>
      </c>
      <c r="H13" s="18">
        <v>42896.86</v>
      </c>
      <c r="I13" s="18"/>
      <c r="J13" s="67">
        <f>SUM(I442)</f>
        <v>559947.57000000007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594279.38</v>
      </c>
      <c r="G19" s="41">
        <f>SUM(G9:G18)</f>
        <v>12287.18</v>
      </c>
      <c r="H19" s="41">
        <f>SUM(H9:H18)</f>
        <v>42896.86</v>
      </c>
      <c r="I19" s="41">
        <f>SUM(I9:I18)</f>
        <v>0</v>
      </c>
      <c r="J19" s="41">
        <f>SUM(J9:J18)</f>
        <v>559947.57000000007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8593.74</v>
      </c>
      <c r="G22" s="18"/>
      <c r="H22" s="18">
        <v>41569.94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33007.26</v>
      </c>
      <c r="G24" s="18">
        <v>425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7895.67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2365.98</v>
      </c>
      <c r="H30" s="18">
        <v>1326.92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49496.67</v>
      </c>
      <c r="G32" s="41">
        <f>SUM(G22:G31)</f>
        <v>2790.98</v>
      </c>
      <c r="H32" s="41">
        <f>SUM(H22:H31)</f>
        <v>42896.86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9496.2000000000007</v>
      </c>
      <c r="H48" s="18"/>
      <c r="I48" s="18"/>
      <c r="J48" s="13">
        <f>SUM(I459)</f>
        <v>559947.57000000007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70997.919999999998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473784.79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544782.71</v>
      </c>
      <c r="G51" s="41">
        <f>SUM(G35:G50)</f>
        <v>9496.2000000000007</v>
      </c>
      <c r="H51" s="41">
        <f>SUM(H35:H50)</f>
        <v>0</v>
      </c>
      <c r="I51" s="41">
        <f>SUM(I35:I50)</f>
        <v>0</v>
      </c>
      <c r="J51" s="41">
        <f>SUM(J35:J50)</f>
        <v>559947.57000000007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594279.38</v>
      </c>
      <c r="G52" s="41">
        <f>G51+G32</f>
        <v>12287.18</v>
      </c>
      <c r="H52" s="41">
        <f>H51+H32</f>
        <v>42896.86</v>
      </c>
      <c r="I52" s="41">
        <f>I51+I32</f>
        <v>0</v>
      </c>
      <c r="J52" s="41">
        <f>J51+J32</f>
        <v>559947.57000000007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5839658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5839658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7925.5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7925.5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155.19</v>
      </c>
      <c r="G96" s="18"/>
      <c r="H96" s="18"/>
      <c r="I96" s="18"/>
      <c r="J96" s="18">
        <v>3643.05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83205.75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1500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422.56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55693.48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670.13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58018.8</v>
      </c>
      <c r="G111" s="41">
        <f>SUM(G96:G110)</f>
        <v>83205.75</v>
      </c>
      <c r="H111" s="41">
        <f>SUM(H96:H110)</f>
        <v>422.56</v>
      </c>
      <c r="I111" s="41">
        <f>SUM(I96:I110)</f>
        <v>0</v>
      </c>
      <c r="J111" s="41">
        <f>SUM(J96:J110)</f>
        <v>3643.05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5905602.2999999998</v>
      </c>
      <c r="G112" s="41">
        <f>G60+G111</f>
        <v>83205.75</v>
      </c>
      <c r="H112" s="41">
        <f>H60+H79+H94+H111</f>
        <v>422.56</v>
      </c>
      <c r="I112" s="41">
        <f>I60+I111</f>
        <v>0</v>
      </c>
      <c r="J112" s="41">
        <f>J60+J111</f>
        <v>3643.05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973131.89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943265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16000.48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1932397.37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81005.960000000006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1963.69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81005.960000000006</v>
      </c>
      <c r="G136" s="41">
        <f>SUM(G123:G135)</f>
        <v>1963.69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2013403.33</v>
      </c>
      <c r="G140" s="41">
        <f>G121+SUM(G136:G137)</f>
        <v>1963.69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28254.14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17594.43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51214.32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96932.04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21999.64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21999.64</v>
      </c>
      <c r="G162" s="41">
        <f>SUM(G150:G161)</f>
        <v>51214.32</v>
      </c>
      <c r="H162" s="41">
        <f>SUM(H150:H161)</f>
        <v>142780.60999999999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>
        <v>5211.45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21999.64</v>
      </c>
      <c r="G169" s="41">
        <f>G147+G162+SUM(G163:G168)</f>
        <v>51214.32</v>
      </c>
      <c r="H169" s="41">
        <f>H147+H162+SUM(H163:H168)</f>
        <v>147992.06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7941005.2699999996</v>
      </c>
      <c r="G193" s="47">
        <f>G112+G140+G169+G192</f>
        <v>136383.76</v>
      </c>
      <c r="H193" s="47">
        <f>H112+H140+H169+H192</f>
        <v>148414.62</v>
      </c>
      <c r="I193" s="47">
        <f>I112+I140+I169+I192</f>
        <v>0</v>
      </c>
      <c r="J193" s="47">
        <f>J112+J140+J192</f>
        <v>3643.05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1455686.61</v>
      </c>
      <c r="G197" s="18">
        <v>798987.26</v>
      </c>
      <c r="H197" s="18">
        <f>280+11035.51+164.52</f>
        <v>11480.03</v>
      </c>
      <c r="I197" s="18">
        <v>37262.19</v>
      </c>
      <c r="J197" s="18">
        <v>4410.28</v>
      </c>
      <c r="K197" s="18"/>
      <c r="L197" s="19">
        <f>SUM(F197:K197)</f>
        <v>2307826.3699999996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493508.94</v>
      </c>
      <c r="G198" s="18">
        <v>199466.64</v>
      </c>
      <c r="H198" s="18">
        <f>72610.87+1461.08+297360.57</f>
        <v>371432.52</v>
      </c>
      <c r="I198" s="18">
        <v>5218.6899999999996</v>
      </c>
      <c r="J198" s="18"/>
      <c r="K198" s="18">
        <v>995</v>
      </c>
      <c r="L198" s="19">
        <f>SUM(F198:K198)</f>
        <v>1070621.79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25665</v>
      </c>
      <c r="G200" s="18">
        <v>5332.86</v>
      </c>
      <c r="H200" s="18">
        <f>4221.5+5727.5+1597</f>
        <v>11546</v>
      </c>
      <c r="I200" s="18">
        <v>1811.65</v>
      </c>
      <c r="J200" s="18">
        <v>2759.92</v>
      </c>
      <c r="K200" s="18">
        <v>1284.5</v>
      </c>
      <c r="L200" s="19">
        <f>SUM(F200:K200)</f>
        <v>48399.93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110673.75</v>
      </c>
      <c r="G202" s="18">
        <v>74288.789999999994</v>
      </c>
      <c r="H202" s="18">
        <f>272055.34+554</f>
        <v>272609.34000000003</v>
      </c>
      <c r="I202" s="18">
        <v>4054.49</v>
      </c>
      <c r="J202" s="18">
        <v>3845.73</v>
      </c>
      <c r="K202" s="18">
        <v>1309.2</v>
      </c>
      <c r="L202" s="19">
        <f t="shared" ref="L202:L208" si="0">SUM(F202:K202)</f>
        <v>466781.3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68854.75</v>
      </c>
      <c r="G203" s="18">
        <v>18476.009999999998</v>
      </c>
      <c r="H203" s="18">
        <v>1693</v>
      </c>
      <c r="I203" s="18">
        <v>10846.28</v>
      </c>
      <c r="J203" s="18"/>
      <c r="K203" s="18"/>
      <c r="L203" s="19">
        <f t="shared" si="0"/>
        <v>99870.04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6900</v>
      </c>
      <c r="G204" s="18">
        <v>698.58</v>
      </c>
      <c r="H204" s="18">
        <f>31752.35+169196</f>
        <v>200948.35</v>
      </c>
      <c r="I204" s="18">
        <v>2828.23</v>
      </c>
      <c r="J204" s="18"/>
      <c r="K204" s="18">
        <v>4816.78</v>
      </c>
      <c r="L204" s="19">
        <f t="shared" si="0"/>
        <v>216191.94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228329.81</v>
      </c>
      <c r="G205" s="18">
        <v>124816.57</v>
      </c>
      <c r="H205" s="18">
        <f>5547.79+8162.28</f>
        <v>13710.07</v>
      </c>
      <c r="I205" s="18">
        <v>759.24</v>
      </c>
      <c r="J205" s="18">
        <v>740</v>
      </c>
      <c r="K205" s="18">
        <v>1810</v>
      </c>
      <c r="L205" s="19">
        <f t="shared" si="0"/>
        <v>370165.69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139155.47</v>
      </c>
      <c r="G207" s="18">
        <v>71967.94</v>
      </c>
      <c r="H207" s="18">
        <f>129092.53+15615</f>
        <v>144707.53</v>
      </c>
      <c r="I207" s="18">
        <v>87067.77</v>
      </c>
      <c r="J207" s="18">
        <v>1728.68</v>
      </c>
      <c r="K207" s="18"/>
      <c r="L207" s="19">
        <f t="shared" si="0"/>
        <v>444627.39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179745.36+123433.46+8958.9+5521.05</f>
        <v>317658.77</v>
      </c>
      <c r="I208" s="18"/>
      <c r="J208" s="18"/>
      <c r="K208" s="18"/>
      <c r="L208" s="19">
        <f t="shared" si="0"/>
        <v>317658.77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65478</v>
      </c>
      <c r="G209" s="18">
        <v>31712.81</v>
      </c>
      <c r="H209" s="18">
        <f>917.27+3803</f>
        <v>4720.2700000000004</v>
      </c>
      <c r="I209" s="18">
        <v>11187.55</v>
      </c>
      <c r="J209" s="18">
        <v>61333.36</v>
      </c>
      <c r="K209" s="18"/>
      <c r="L209" s="19">
        <f>SUM(F209:K209)</f>
        <v>174431.99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2594252.33</v>
      </c>
      <c r="G211" s="41">
        <f t="shared" si="1"/>
        <v>1325747.4600000002</v>
      </c>
      <c r="H211" s="41">
        <f t="shared" si="1"/>
        <v>1350505.8800000001</v>
      </c>
      <c r="I211" s="41">
        <f t="shared" si="1"/>
        <v>161036.09</v>
      </c>
      <c r="J211" s="41">
        <f t="shared" si="1"/>
        <v>74817.97</v>
      </c>
      <c r="K211" s="41">
        <f t="shared" si="1"/>
        <v>10215.48</v>
      </c>
      <c r="L211" s="41">
        <f t="shared" si="1"/>
        <v>5516575.2100000009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4158.8</v>
      </c>
      <c r="I216" s="18"/>
      <c r="J216" s="18"/>
      <c r="K216" s="18"/>
      <c r="L216" s="19">
        <f>SUM(F216:K216)</f>
        <v>4158.8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4158.8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4158.8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1546235.97</v>
      </c>
      <c r="I233" s="18"/>
      <c r="J233" s="18"/>
      <c r="K233" s="18"/>
      <c r="L233" s="19">
        <f>SUM(F233:K233)</f>
        <v>1546235.97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54498.06+562076.08</f>
        <v>616574.1399999999</v>
      </c>
      <c r="I234" s="18"/>
      <c r="J234" s="18"/>
      <c r="K234" s="18"/>
      <c r="L234" s="19">
        <f>SUM(F234:K234)</f>
        <v>616574.1399999999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76238.31+86113.75</f>
        <v>162352.06</v>
      </c>
      <c r="I244" s="18"/>
      <c r="J244" s="18"/>
      <c r="K244" s="18"/>
      <c r="L244" s="19">
        <f t="shared" si="4"/>
        <v>162352.06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2325162.17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2325162.17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2594252.33</v>
      </c>
      <c r="G257" s="41">
        <f t="shared" si="8"/>
        <v>1325747.4600000002</v>
      </c>
      <c r="H257" s="41">
        <f t="shared" si="8"/>
        <v>3679826.85</v>
      </c>
      <c r="I257" s="41">
        <f t="shared" si="8"/>
        <v>161036.09</v>
      </c>
      <c r="J257" s="41">
        <f t="shared" si="8"/>
        <v>74817.97</v>
      </c>
      <c r="K257" s="41">
        <f t="shared" si="8"/>
        <v>10215.48</v>
      </c>
      <c r="L257" s="41">
        <f t="shared" si="8"/>
        <v>7845896.1800000006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14896.04</v>
      </c>
      <c r="L268" s="19">
        <f t="shared" si="9"/>
        <v>14896.04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14896.04</v>
      </c>
      <c r="L270" s="41">
        <f t="shared" si="9"/>
        <v>14896.04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2594252.33</v>
      </c>
      <c r="G271" s="42">
        <f t="shared" si="11"/>
        <v>1325747.4600000002</v>
      </c>
      <c r="H271" s="42">
        <f t="shared" si="11"/>
        <v>3679826.85</v>
      </c>
      <c r="I271" s="42">
        <f t="shared" si="11"/>
        <v>161036.09</v>
      </c>
      <c r="J271" s="42">
        <f t="shared" si="11"/>
        <v>74817.97</v>
      </c>
      <c r="K271" s="42">
        <f t="shared" si="11"/>
        <v>25111.52</v>
      </c>
      <c r="L271" s="42">
        <f t="shared" si="11"/>
        <v>7860792.2200000007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22136.48</v>
      </c>
      <c r="G276" s="18">
        <f>1678.86+3790.32</f>
        <v>5469.18</v>
      </c>
      <c r="H276" s="18"/>
      <c r="I276" s="18">
        <v>2171.16</v>
      </c>
      <c r="J276" s="18"/>
      <c r="K276" s="18"/>
      <c r="L276" s="19">
        <f>SUM(F276:K276)</f>
        <v>29776.82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28191.13</v>
      </c>
      <c r="G277" s="18">
        <v>2130.77</v>
      </c>
      <c r="H277" s="18">
        <v>1314.5</v>
      </c>
      <c r="I277" s="18">
        <f>266.56+38.85</f>
        <v>305.41000000000003</v>
      </c>
      <c r="J277" s="18"/>
      <c r="K277" s="18"/>
      <c r="L277" s="19">
        <f>SUM(F277:K277)</f>
        <v>31941.81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38977.65</v>
      </c>
      <c r="I281" s="18"/>
      <c r="J281" s="18"/>
      <c r="K281" s="18"/>
      <c r="L281" s="19">
        <f t="shared" ref="L281:L287" si="12">SUM(F281:K281)</f>
        <v>38977.65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5093.75</v>
      </c>
      <c r="G282" s="18">
        <f>377.04+884.27</f>
        <v>1261.31</v>
      </c>
      <c r="H282" s="18">
        <f>311+23370+5688.97+100</f>
        <v>29469.97</v>
      </c>
      <c r="I282" s="18">
        <f>1717.09+1395</f>
        <v>3112.09</v>
      </c>
      <c r="J282" s="18"/>
      <c r="K282" s="18"/>
      <c r="L282" s="19">
        <f t="shared" si="12"/>
        <v>38937.119999999995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267.15+648.48+2498.14</f>
        <v>3413.77</v>
      </c>
      <c r="L285" s="19">
        <f t="shared" si="12"/>
        <v>3413.77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45</v>
      </c>
      <c r="I288" s="18">
        <v>156</v>
      </c>
      <c r="J288" s="18">
        <v>5166.45</v>
      </c>
      <c r="K288" s="18"/>
      <c r="L288" s="19">
        <f>SUM(F288:K288)</f>
        <v>5367.45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55421.36</v>
      </c>
      <c r="G290" s="42">
        <f t="shared" si="13"/>
        <v>8861.26</v>
      </c>
      <c r="H290" s="42">
        <f t="shared" si="13"/>
        <v>69807.12</v>
      </c>
      <c r="I290" s="42">
        <f t="shared" si="13"/>
        <v>5744.66</v>
      </c>
      <c r="J290" s="42">
        <f t="shared" si="13"/>
        <v>5166.45</v>
      </c>
      <c r="K290" s="42">
        <f t="shared" si="13"/>
        <v>3413.77</v>
      </c>
      <c r="L290" s="41">
        <f t="shared" si="13"/>
        <v>148414.62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55421.36</v>
      </c>
      <c r="G338" s="41">
        <f t="shared" si="20"/>
        <v>8861.26</v>
      </c>
      <c r="H338" s="41">
        <f t="shared" si="20"/>
        <v>69807.12</v>
      </c>
      <c r="I338" s="41">
        <f t="shared" si="20"/>
        <v>5744.66</v>
      </c>
      <c r="J338" s="41">
        <f t="shared" si="20"/>
        <v>5166.45</v>
      </c>
      <c r="K338" s="41">
        <f t="shared" si="20"/>
        <v>3413.77</v>
      </c>
      <c r="L338" s="41">
        <f t="shared" si="20"/>
        <v>148414.62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55421.36</v>
      </c>
      <c r="G352" s="41">
        <f>G338</f>
        <v>8861.26</v>
      </c>
      <c r="H352" s="41">
        <f>H338</f>
        <v>69807.12</v>
      </c>
      <c r="I352" s="41">
        <f>I338</f>
        <v>5744.66</v>
      </c>
      <c r="J352" s="41">
        <f>J338</f>
        <v>5166.45</v>
      </c>
      <c r="K352" s="47">
        <f>K338+K351</f>
        <v>3413.77</v>
      </c>
      <c r="L352" s="41">
        <f>L338+L351</f>
        <v>148414.62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54528.19</v>
      </c>
      <c r="G358" s="18">
        <v>9990.5400000000009</v>
      </c>
      <c r="H358" s="18">
        <v>5033.62</v>
      </c>
      <c r="I358" s="18">
        <v>71567.199999999997</v>
      </c>
      <c r="J358" s="18">
        <v>4962.93</v>
      </c>
      <c r="K358" s="18">
        <v>600</v>
      </c>
      <c r="L358" s="13">
        <f>SUM(F358:K358)</f>
        <v>146682.47999999998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54528.19</v>
      </c>
      <c r="G362" s="47">
        <f t="shared" si="22"/>
        <v>9990.5400000000009</v>
      </c>
      <c r="H362" s="47">
        <f t="shared" si="22"/>
        <v>5033.62</v>
      </c>
      <c r="I362" s="47">
        <f t="shared" si="22"/>
        <v>71567.199999999997</v>
      </c>
      <c r="J362" s="47">
        <f t="shared" si="22"/>
        <v>4962.93</v>
      </c>
      <c r="K362" s="47">
        <f t="shared" si="22"/>
        <v>600</v>
      </c>
      <c r="L362" s="47">
        <f t="shared" si="22"/>
        <v>146682.47999999998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53888.62+9543.45</f>
        <v>63432.070000000007</v>
      </c>
      <c r="G367" s="18"/>
      <c r="H367" s="18"/>
      <c r="I367" s="56">
        <f>SUM(F367:H367)</f>
        <v>63432.070000000007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4355.27+3779.86</f>
        <v>8135.130000000001</v>
      </c>
      <c r="G368" s="63"/>
      <c r="H368" s="63"/>
      <c r="I368" s="56">
        <f>SUM(F368:H368)</f>
        <v>8135.130000000001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71567.200000000012</v>
      </c>
      <c r="G369" s="47">
        <f>SUM(G367:G368)</f>
        <v>0</v>
      </c>
      <c r="H369" s="47">
        <f>SUM(H367:H368)</f>
        <v>0</v>
      </c>
      <c r="I369" s="47">
        <f>SUM(I367:I368)</f>
        <v>71567.200000000012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1854.31</v>
      </c>
      <c r="I388" s="18"/>
      <c r="J388" s="24" t="s">
        <v>286</v>
      </c>
      <c r="K388" s="24" t="s">
        <v>286</v>
      </c>
      <c r="L388" s="56">
        <f t="shared" si="25"/>
        <v>1854.31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1854.31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1854.31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464.39</v>
      </c>
      <c r="I396" s="18"/>
      <c r="J396" s="24" t="s">
        <v>286</v>
      </c>
      <c r="K396" s="24" t="s">
        <v>286</v>
      </c>
      <c r="L396" s="56">
        <f t="shared" si="26"/>
        <v>464.39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1319.41</v>
      </c>
      <c r="I397" s="18"/>
      <c r="J397" s="24" t="s">
        <v>286</v>
      </c>
      <c r="K397" s="24" t="s">
        <v>286</v>
      </c>
      <c r="L397" s="56">
        <f t="shared" si="26"/>
        <v>1319.41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4.8600000000000003</v>
      </c>
      <c r="I399" s="18"/>
      <c r="J399" s="24" t="s">
        <v>286</v>
      </c>
      <c r="K399" s="24" t="s">
        <v>286</v>
      </c>
      <c r="L399" s="56">
        <f t="shared" si="26"/>
        <v>4.8600000000000003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0.08</v>
      </c>
      <c r="I400" s="18"/>
      <c r="J400" s="24" t="s">
        <v>286</v>
      </c>
      <c r="K400" s="24" t="s">
        <v>286</v>
      </c>
      <c r="L400" s="56">
        <f t="shared" si="26"/>
        <v>0.08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1788.74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1788.74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3643.05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3643.05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4"/>
      <c r="G439" s="4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285013.42</v>
      </c>
      <c r="G442" s="18">
        <v>274934.15000000002</v>
      </c>
      <c r="H442" s="18"/>
      <c r="I442" s="56">
        <f>SUM(F442:H442)</f>
        <v>559947.57000000007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SUM(F440:F445)</f>
        <v>285013.42</v>
      </c>
      <c r="G446" s="13">
        <f>SUM(G440:G445)</f>
        <v>274934.15000000002</v>
      </c>
      <c r="H446" s="13">
        <f>SUM(H439:H445)</f>
        <v>0</v>
      </c>
      <c r="I446" s="13">
        <f>SUM(I439:I445)</f>
        <v>559947.57000000007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285013.42</v>
      </c>
      <c r="G459" s="18">
        <v>274934.15000000002</v>
      </c>
      <c r="H459" s="18"/>
      <c r="I459" s="56">
        <f t="shared" si="34"/>
        <v>559947.57000000007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285013.42</v>
      </c>
      <c r="G460" s="83">
        <f>SUM(G454:G459)</f>
        <v>274934.15000000002</v>
      </c>
      <c r="H460" s="83">
        <f>SUM(H454:H459)</f>
        <v>0</v>
      </c>
      <c r="I460" s="83">
        <f>SUM(I454:I459)</f>
        <v>559947.57000000007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285013.42</v>
      </c>
      <c r="G461" s="42">
        <f>G452+G460</f>
        <v>274934.15000000002</v>
      </c>
      <c r="H461" s="42">
        <f>H452+H460</f>
        <v>0</v>
      </c>
      <c r="I461" s="42">
        <f>I452+I460</f>
        <v>559947.57000000007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464569.66</v>
      </c>
      <c r="G465" s="18">
        <v>19794.919999999998</v>
      </c>
      <c r="H465" s="18"/>
      <c r="I465" s="18"/>
      <c r="J465" s="18">
        <v>556304.52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7941005.2699999996</v>
      </c>
      <c r="G468" s="18">
        <v>136383.76</v>
      </c>
      <c r="H468" s="18">
        <v>148414.62</v>
      </c>
      <c r="I468" s="18"/>
      <c r="J468" s="18">
        <v>3643.05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7941005.2699999996</v>
      </c>
      <c r="G470" s="53">
        <f>SUM(G468:G469)</f>
        <v>136383.76</v>
      </c>
      <c r="H470" s="53">
        <f>SUM(H468:H469)</f>
        <v>148414.62</v>
      </c>
      <c r="I470" s="53">
        <f>SUM(I468:I469)</f>
        <v>0</v>
      </c>
      <c r="J470" s="53">
        <f>SUM(J468:J469)</f>
        <v>3643.05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7860792.2199999997</v>
      </c>
      <c r="G472" s="18">
        <v>146682.48000000001</v>
      </c>
      <c r="H472" s="18">
        <v>148414.62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7860792.2199999997</v>
      </c>
      <c r="G474" s="53">
        <f>SUM(G472:G473)</f>
        <v>146682.48000000001</v>
      </c>
      <c r="H474" s="53">
        <f>SUM(H472:H473)</f>
        <v>148414.62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544782.71</v>
      </c>
      <c r="G476" s="53">
        <f>(G465+G470)- G474</f>
        <v>9496.1999999999825</v>
      </c>
      <c r="H476" s="53">
        <f>(H465+H470)- H474</f>
        <v>0</v>
      </c>
      <c r="I476" s="53">
        <f>(I465+I470)- I474</f>
        <v>0</v>
      </c>
      <c r="J476" s="53">
        <f>(J465+J470)- J474</f>
        <v>559947.57000000007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28191.13+389311.7</f>
        <v>417502.83</v>
      </c>
      <c r="G521" s="18">
        <f>2130.77+144429.52</f>
        <v>146560.28999999998</v>
      </c>
      <c r="H521" s="18">
        <v>291729.23</v>
      </c>
      <c r="I521" s="18">
        <f>38.85+6345.91</f>
        <v>6384.76</v>
      </c>
      <c r="J521" s="18"/>
      <c r="K521" s="18"/>
      <c r="L521" s="88">
        <f>SUM(F521:K521)</f>
        <v>862177.11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4158.8</v>
      </c>
      <c r="I522" s="18"/>
      <c r="J522" s="18"/>
      <c r="K522" s="18"/>
      <c r="L522" s="88">
        <f>SUM(F522:K522)</f>
        <v>4158.8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562076.07999999996</v>
      </c>
      <c r="I523" s="18"/>
      <c r="J523" s="18"/>
      <c r="K523" s="18"/>
      <c r="L523" s="88">
        <f>SUM(F523:K523)</f>
        <v>562076.07999999996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417502.83</v>
      </c>
      <c r="G524" s="108">
        <f t="shared" ref="G524:L524" si="36">SUM(G521:G523)</f>
        <v>146560.28999999998</v>
      </c>
      <c r="H524" s="108">
        <f t="shared" si="36"/>
        <v>857964.10999999987</v>
      </c>
      <c r="I524" s="108">
        <f t="shared" si="36"/>
        <v>6384.76</v>
      </c>
      <c r="J524" s="108">
        <f t="shared" si="36"/>
        <v>0</v>
      </c>
      <c r="K524" s="108">
        <f t="shared" si="36"/>
        <v>0</v>
      </c>
      <c r="L524" s="89">
        <f t="shared" si="36"/>
        <v>1428411.99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373055.2</v>
      </c>
      <c r="I526" s="18"/>
      <c r="J526" s="18"/>
      <c r="K526" s="18"/>
      <c r="L526" s="88">
        <f>SUM(F526:K526)</f>
        <v>373055.2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54498.06</v>
      </c>
      <c r="I528" s="18"/>
      <c r="J528" s="18"/>
      <c r="K528" s="18"/>
      <c r="L528" s="88">
        <f>SUM(F528:K528)</f>
        <v>54498.06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427553.26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427553.26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104197.24</v>
      </c>
      <c r="G531" s="18">
        <v>55037.120000000003</v>
      </c>
      <c r="H531" s="18">
        <v>7092.42</v>
      </c>
      <c r="I531" s="18"/>
      <c r="J531" s="18"/>
      <c r="K531" s="18">
        <v>995</v>
      </c>
      <c r="L531" s="88">
        <f>SUM(F531:K531)</f>
        <v>167321.78000000003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104197.24</v>
      </c>
      <c r="G534" s="89">
        <f t="shared" ref="G534:L534" si="38">SUM(G531:G533)</f>
        <v>55037.120000000003</v>
      </c>
      <c r="H534" s="89">
        <f t="shared" si="38"/>
        <v>7092.42</v>
      </c>
      <c r="I534" s="89">
        <f t="shared" si="38"/>
        <v>0</v>
      </c>
      <c r="J534" s="89">
        <f t="shared" si="38"/>
        <v>0</v>
      </c>
      <c r="K534" s="89">
        <f t="shared" si="38"/>
        <v>995</v>
      </c>
      <c r="L534" s="89">
        <f t="shared" si="38"/>
        <v>167321.78000000003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123433.46</v>
      </c>
      <c r="I541" s="18"/>
      <c r="J541" s="18"/>
      <c r="K541" s="18"/>
      <c r="L541" s="88">
        <f>SUM(F541:K541)</f>
        <v>123433.46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76238.31</v>
      </c>
      <c r="I543" s="18"/>
      <c r="J543" s="18"/>
      <c r="K543" s="18"/>
      <c r="L543" s="88">
        <f>SUM(F543:K543)</f>
        <v>76238.31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199671.77000000002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199671.77000000002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521700.07</v>
      </c>
      <c r="G545" s="89">
        <f t="shared" ref="G545:L545" si="41">G524+G529+G534+G539+G544</f>
        <v>201597.40999999997</v>
      </c>
      <c r="H545" s="89">
        <f t="shared" si="41"/>
        <v>1492281.5599999998</v>
      </c>
      <c r="I545" s="89">
        <f t="shared" si="41"/>
        <v>6384.76</v>
      </c>
      <c r="J545" s="89">
        <f t="shared" si="41"/>
        <v>0</v>
      </c>
      <c r="K545" s="89">
        <f t="shared" si="41"/>
        <v>995</v>
      </c>
      <c r="L545" s="89">
        <f t="shared" si="41"/>
        <v>2222958.7999999998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862177.11</v>
      </c>
      <c r="G549" s="87">
        <f>L526</f>
        <v>373055.2</v>
      </c>
      <c r="H549" s="87">
        <f>L531</f>
        <v>167321.78000000003</v>
      </c>
      <c r="I549" s="87">
        <f>L536</f>
        <v>0</v>
      </c>
      <c r="J549" s="87">
        <f>L541</f>
        <v>123433.46</v>
      </c>
      <c r="K549" s="87">
        <f>SUM(F549:J549)</f>
        <v>1525987.55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4158.8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4158.8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562076.07999999996</v>
      </c>
      <c r="G551" s="87">
        <f>L528</f>
        <v>54498.06</v>
      </c>
      <c r="H551" s="87">
        <f>L533</f>
        <v>0</v>
      </c>
      <c r="I551" s="87">
        <f>L538</f>
        <v>0</v>
      </c>
      <c r="J551" s="87">
        <f>L543</f>
        <v>76238.31</v>
      </c>
      <c r="K551" s="87">
        <f>SUM(F551:J551)</f>
        <v>692812.45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1428411.99</v>
      </c>
      <c r="G552" s="89">
        <f t="shared" si="42"/>
        <v>427553.26</v>
      </c>
      <c r="H552" s="89">
        <f t="shared" si="42"/>
        <v>167321.78000000003</v>
      </c>
      <c r="I552" s="89">
        <f t="shared" si="42"/>
        <v>0</v>
      </c>
      <c r="J552" s="89">
        <f t="shared" si="42"/>
        <v>199671.77000000002</v>
      </c>
      <c r="K552" s="89">
        <f t="shared" si="42"/>
        <v>2222958.7999999998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663.25</v>
      </c>
      <c r="G562" s="18">
        <f>50.74+35.97+21.59</f>
        <v>108.30000000000001</v>
      </c>
      <c r="H562" s="18"/>
      <c r="I562" s="18"/>
      <c r="J562" s="18"/>
      <c r="K562" s="18"/>
      <c r="L562" s="88">
        <f>SUM(F562:K562)</f>
        <v>771.55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663.25</v>
      </c>
      <c r="G565" s="89">
        <f t="shared" si="44"/>
        <v>108.30000000000001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771.55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65002</v>
      </c>
      <c r="G567" s="18">
        <f>783.27+162.48+4877.82+18987.49+66.99+11284.25+35.97+254.74</f>
        <v>36453.01</v>
      </c>
      <c r="H567" s="18"/>
      <c r="I567" s="18">
        <v>962.27</v>
      </c>
      <c r="J567" s="18"/>
      <c r="K567" s="18"/>
      <c r="L567" s="88">
        <f>SUM(F567:K567)</f>
        <v>102417.28000000001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65002</v>
      </c>
      <c r="G570" s="193">
        <f t="shared" ref="G570:L570" si="45">SUM(G567:G569)</f>
        <v>36453.01</v>
      </c>
      <c r="H570" s="193">
        <f t="shared" si="45"/>
        <v>0</v>
      </c>
      <c r="I570" s="193">
        <f t="shared" si="45"/>
        <v>962.27</v>
      </c>
      <c r="J570" s="193">
        <f t="shared" si="45"/>
        <v>0</v>
      </c>
      <c r="K570" s="193">
        <f t="shared" si="45"/>
        <v>0</v>
      </c>
      <c r="L570" s="193">
        <f t="shared" si="45"/>
        <v>102417.28000000001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65665.25</v>
      </c>
      <c r="G571" s="89">
        <f t="shared" ref="G571:L571" si="46">G560+G565+G570</f>
        <v>36561.310000000005</v>
      </c>
      <c r="H571" s="89">
        <f t="shared" si="46"/>
        <v>0</v>
      </c>
      <c r="I571" s="89">
        <f t="shared" si="46"/>
        <v>962.27</v>
      </c>
      <c r="J571" s="89">
        <f t="shared" si="46"/>
        <v>0</v>
      </c>
      <c r="K571" s="89">
        <f t="shared" si="46"/>
        <v>0</v>
      </c>
      <c r="L571" s="89">
        <f t="shared" si="46"/>
        <v>103188.83000000002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778695.87</v>
      </c>
      <c r="I575" s="87">
        <f>SUM(F575:H575)</f>
        <v>778695.87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767540.1</v>
      </c>
      <c r="I577" s="87">
        <f t="shared" si="47"/>
        <v>767540.1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14447.33</v>
      </c>
      <c r="G579" s="18"/>
      <c r="H579" s="18">
        <v>184220.79999999999</v>
      </c>
      <c r="I579" s="87">
        <f t="shared" si="47"/>
        <v>198668.12999999998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266857.59999999998</v>
      </c>
      <c r="I581" s="87">
        <f t="shared" si="47"/>
        <v>266857.59999999998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257396.9+19885</f>
        <v>277281.90000000002</v>
      </c>
      <c r="G582" s="18">
        <v>4158.8</v>
      </c>
      <c r="H582" s="18">
        <f>108412.88+2584.8</f>
        <v>110997.68000000001</v>
      </c>
      <c r="I582" s="87">
        <f t="shared" si="47"/>
        <v>392438.38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179745.36</v>
      </c>
      <c r="I591" s="18"/>
      <c r="J591" s="18">
        <v>86113.75</v>
      </c>
      <c r="K591" s="104">
        <f t="shared" ref="K591:K597" si="48">SUM(H591:J591)</f>
        <v>265859.11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123433.46</v>
      </c>
      <c r="I592" s="18"/>
      <c r="J592" s="18">
        <v>76238.31</v>
      </c>
      <c r="K592" s="104">
        <f t="shared" si="48"/>
        <v>199671.77000000002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8958.9</v>
      </c>
      <c r="I594" s="18"/>
      <c r="J594" s="18"/>
      <c r="K594" s="104">
        <f t="shared" si="48"/>
        <v>8958.9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5521.05</v>
      </c>
      <c r="I595" s="18"/>
      <c r="J595" s="18"/>
      <c r="K595" s="104">
        <f t="shared" si="48"/>
        <v>5521.05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317658.77</v>
      </c>
      <c r="I598" s="108">
        <f>SUM(I591:I597)</f>
        <v>0</v>
      </c>
      <c r="J598" s="108">
        <f>SUM(J591:J597)</f>
        <v>162352.06</v>
      </c>
      <c r="K598" s="108">
        <f>SUM(K591:K597)</f>
        <v>480010.83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79984.42</v>
      </c>
      <c r="I604" s="18"/>
      <c r="J604" s="18"/>
      <c r="K604" s="104">
        <f>SUM(H604:J604)</f>
        <v>79984.42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79984.42</v>
      </c>
      <c r="I605" s="108">
        <f>SUM(I602:I604)</f>
        <v>0</v>
      </c>
      <c r="J605" s="108">
        <f>SUM(J602:J604)</f>
        <v>0</v>
      </c>
      <c r="K605" s="108">
        <f>SUM(K602:K604)</f>
        <v>79984.42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594279.38</v>
      </c>
      <c r="H617" s="109">
        <f>SUM(F52)</f>
        <v>594279.38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12287.18</v>
      </c>
      <c r="H618" s="109">
        <f>SUM(G52)</f>
        <v>12287.18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42896.86</v>
      </c>
      <c r="H619" s="109">
        <f>SUM(H52)</f>
        <v>42896.86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559947.57000000007</v>
      </c>
      <c r="H621" s="109">
        <f>SUM(J52)</f>
        <v>559947.57000000007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544782.71</v>
      </c>
      <c r="H622" s="109">
        <f>F476</f>
        <v>544782.71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9496.2000000000007</v>
      </c>
      <c r="H623" s="109">
        <f>G476</f>
        <v>9496.1999999999825</v>
      </c>
      <c r="I623" s="121" t="s">
        <v>102</v>
      </c>
      <c r="J623" s="109">
        <f t="shared" si="50"/>
        <v>1.8189894035458565E-11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559947.57000000007</v>
      </c>
      <c r="H626" s="109">
        <f>J476</f>
        <v>559947.57000000007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7941005.2699999996</v>
      </c>
      <c r="H627" s="104">
        <f>SUM(F468)</f>
        <v>7941005.2699999996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136383.76</v>
      </c>
      <c r="H628" s="104">
        <f>SUM(G468)</f>
        <v>136383.76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148414.62</v>
      </c>
      <c r="H629" s="104">
        <f>SUM(H468)</f>
        <v>148414.62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3643.05</v>
      </c>
      <c r="H631" s="104">
        <f>SUM(J468)</f>
        <v>3643.05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7860792.2200000007</v>
      </c>
      <c r="H632" s="104">
        <f>SUM(F472)</f>
        <v>7860792.2199999997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148414.62</v>
      </c>
      <c r="H633" s="104">
        <f>SUM(H472)</f>
        <v>148414.62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71567.199999999997</v>
      </c>
      <c r="H634" s="104">
        <f>I369</f>
        <v>71567.200000000012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146682.47999999998</v>
      </c>
      <c r="H635" s="104">
        <f>SUM(G472)</f>
        <v>146682.48000000001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3643.05</v>
      </c>
      <c r="H637" s="164">
        <f>SUM(J468)</f>
        <v>3643.05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285013.42</v>
      </c>
      <c r="H639" s="104">
        <f>SUM(F461)</f>
        <v>285013.42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274934.15000000002</v>
      </c>
      <c r="H640" s="104">
        <f>SUM(G461)</f>
        <v>274934.15000000002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559947.57000000007</v>
      </c>
      <c r="H642" s="104">
        <f>SUM(I461)</f>
        <v>559947.57000000007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3643.05</v>
      </c>
      <c r="H644" s="104">
        <f>H408</f>
        <v>3643.05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3643.05</v>
      </c>
      <c r="H646" s="104">
        <f>L408</f>
        <v>3643.05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480010.83</v>
      </c>
      <c r="H647" s="104">
        <f>L208+L226+L244</f>
        <v>480010.83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79984.42</v>
      </c>
      <c r="H648" s="104">
        <f>(J257+J338)-(J255+J336)</f>
        <v>79984.42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317658.77</v>
      </c>
      <c r="H649" s="104">
        <f>H598</f>
        <v>317658.77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162352.06</v>
      </c>
      <c r="H651" s="104">
        <f>J598</f>
        <v>162352.06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5811672.3100000005</v>
      </c>
      <c r="G660" s="19">
        <f>(L229+L309+L359)</f>
        <v>4158.8</v>
      </c>
      <c r="H660" s="19">
        <f>(L247+L328+L360)</f>
        <v>2325162.17</v>
      </c>
      <c r="I660" s="19">
        <f>SUM(F660:H660)</f>
        <v>8140993.2800000003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83205.75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83205.75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317658.77</v>
      </c>
      <c r="G662" s="19">
        <f>(L226+L306)-(J226+J306)</f>
        <v>0</v>
      </c>
      <c r="H662" s="19">
        <f>(L244+L325)-(J244+J325)</f>
        <v>162352.06</v>
      </c>
      <c r="I662" s="19">
        <f>SUM(F662:H662)</f>
        <v>480010.83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371713.65</v>
      </c>
      <c r="G663" s="199">
        <f>SUM(G575:G587)+SUM(I602:I604)+L612</f>
        <v>4158.8</v>
      </c>
      <c r="H663" s="199">
        <f>SUM(H575:H587)+SUM(J602:J604)+L613</f>
        <v>2108312.0500000003</v>
      </c>
      <c r="I663" s="19">
        <f>SUM(F663:H663)</f>
        <v>2484184.5000000005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5039094.1400000006</v>
      </c>
      <c r="G664" s="19">
        <f>G660-SUM(G661:G663)</f>
        <v>0</v>
      </c>
      <c r="H664" s="19">
        <f>H660-SUM(H661:H663)</f>
        <v>54498.05999999959</v>
      </c>
      <c r="I664" s="19">
        <f>I660-SUM(I661:I663)</f>
        <v>5093592.1999999993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298.60000000000002</v>
      </c>
      <c r="G665" s="248"/>
      <c r="H665" s="248"/>
      <c r="I665" s="19">
        <f>SUM(F665:H665)</f>
        <v>298.60000000000002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16875.73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17058.25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-54498.06</v>
      </c>
      <c r="I669" s="19">
        <f>SUM(F669:H669)</f>
        <v>-54498.06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16875.73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16875.73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G41" sqref="G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Candia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1477823.09</v>
      </c>
      <c r="C9" s="229">
        <f>'DOE25'!G197+'DOE25'!G215+'DOE25'!G233+'DOE25'!G276+'DOE25'!G295+'DOE25'!G314</f>
        <v>804456.44000000006</v>
      </c>
    </row>
    <row r="10" spans="1:3" x14ac:dyDescent="0.2">
      <c r="A10" t="s">
        <v>773</v>
      </c>
      <c r="B10" s="240">
        <f>22136.48+1410670.8</f>
        <v>1432807.28</v>
      </c>
      <c r="C10" s="240">
        <f>1678.86+3790.32+795466.43</f>
        <v>800935.6100000001</v>
      </c>
    </row>
    <row r="11" spans="1:3" x14ac:dyDescent="0.2">
      <c r="A11" t="s">
        <v>774</v>
      </c>
      <c r="B11" s="240">
        <v>19579.48</v>
      </c>
      <c r="C11" s="240">
        <v>1615.67</v>
      </c>
    </row>
    <row r="12" spans="1:3" x14ac:dyDescent="0.2">
      <c r="A12" t="s">
        <v>775</v>
      </c>
      <c r="B12" s="240">
        <v>25436.33</v>
      </c>
      <c r="C12" s="240">
        <v>1905.16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1477823.09</v>
      </c>
      <c r="C13" s="231">
        <f>SUM(C10:C12)</f>
        <v>804456.44000000018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521700.07</v>
      </c>
      <c r="C18" s="229">
        <f>'DOE25'!G198+'DOE25'!G216+'DOE25'!G234+'DOE25'!G277+'DOE25'!G296+'DOE25'!G315</f>
        <v>201597.41</v>
      </c>
    </row>
    <row r="19" spans="1:3" x14ac:dyDescent="0.2">
      <c r="A19" t="s">
        <v>773</v>
      </c>
      <c r="B19" s="240">
        <v>229904.53</v>
      </c>
      <c r="C19" s="240">
        <v>89156.74</v>
      </c>
    </row>
    <row r="20" spans="1:3" x14ac:dyDescent="0.2">
      <c r="A20" t="s">
        <v>774</v>
      </c>
      <c r="B20" s="240">
        <f>28191.13+158657.17</f>
        <v>186848.30000000002</v>
      </c>
      <c r="C20" s="240">
        <f>2130.77+54908.34</f>
        <v>57039.109999999993</v>
      </c>
    </row>
    <row r="21" spans="1:3" x14ac:dyDescent="0.2">
      <c r="A21" t="s">
        <v>775</v>
      </c>
      <c r="B21" s="240">
        <v>104947.24</v>
      </c>
      <c r="C21" s="240">
        <v>55401.56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521700.07</v>
      </c>
      <c r="C22" s="231">
        <f>SUM(C19:C21)</f>
        <v>201597.41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25665</v>
      </c>
      <c r="C36" s="235">
        <f>'DOE25'!G200+'DOE25'!G218+'DOE25'!G236+'DOE25'!G279+'DOE25'!G298+'DOE25'!G317</f>
        <v>5332.86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25665</v>
      </c>
      <c r="C39" s="240">
        <v>5332.86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25665</v>
      </c>
      <c r="C40" s="231">
        <f>SUM(C37:C39)</f>
        <v>5332.86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Candia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5593817</v>
      </c>
      <c r="D5" s="20">
        <f>SUM('DOE25'!L197:L200)+SUM('DOE25'!L215:L218)+SUM('DOE25'!L233:L236)-F5-G5</f>
        <v>5584367.2999999998</v>
      </c>
      <c r="E5" s="243"/>
      <c r="F5" s="255">
        <f>SUM('DOE25'!J197:J200)+SUM('DOE25'!J215:J218)+SUM('DOE25'!J233:J236)</f>
        <v>7170.2</v>
      </c>
      <c r="G5" s="53">
        <f>SUM('DOE25'!K197:K200)+SUM('DOE25'!K215:K218)+SUM('DOE25'!K233:K236)</f>
        <v>2279.5</v>
      </c>
      <c r="H5" s="259"/>
    </row>
    <row r="6" spans="1:9" x14ac:dyDescent="0.2">
      <c r="A6" s="32">
        <v>2100</v>
      </c>
      <c r="B6" t="s">
        <v>795</v>
      </c>
      <c r="C6" s="245">
        <f t="shared" si="0"/>
        <v>466781.3</v>
      </c>
      <c r="D6" s="20">
        <f>'DOE25'!L202+'DOE25'!L220+'DOE25'!L238-F6-G6</f>
        <v>461626.37</v>
      </c>
      <c r="E6" s="243"/>
      <c r="F6" s="255">
        <f>'DOE25'!J202+'DOE25'!J220+'DOE25'!J238</f>
        <v>3845.73</v>
      </c>
      <c r="G6" s="53">
        <f>'DOE25'!K202+'DOE25'!K220+'DOE25'!K238</f>
        <v>1309.2</v>
      </c>
      <c r="H6" s="259"/>
    </row>
    <row r="7" spans="1:9" x14ac:dyDescent="0.2">
      <c r="A7" s="32">
        <v>2200</v>
      </c>
      <c r="B7" t="s">
        <v>828</v>
      </c>
      <c r="C7" s="245">
        <f t="shared" si="0"/>
        <v>99870.04</v>
      </c>
      <c r="D7" s="20">
        <f>'DOE25'!L203+'DOE25'!L221+'DOE25'!L239-F7-G7</f>
        <v>99870.04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109923.97</v>
      </c>
      <c r="D8" s="243"/>
      <c r="E8" s="20">
        <f>'DOE25'!L204+'DOE25'!L222+'DOE25'!L240-F8-G8-D9-D11</f>
        <v>105107.19</v>
      </c>
      <c r="F8" s="255">
        <f>'DOE25'!J204+'DOE25'!J222+'DOE25'!J240</f>
        <v>0</v>
      </c>
      <c r="G8" s="53">
        <f>'DOE25'!K204+'DOE25'!K222+'DOE25'!K240</f>
        <v>4816.78</v>
      </c>
      <c r="H8" s="259"/>
    </row>
    <row r="9" spans="1:9" x14ac:dyDescent="0.2">
      <c r="A9" s="32">
        <v>2310</v>
      </c>
      <c r="B9" t="s">
        <v>812</v>
      </c>
      <c r="C9" s="245">
        <f t="shared" si="0"/>
        <v>41307.94</v>
      </c>
      <c r="D9" s="244">
        <v>41307.94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7110</v>
      </c>
      <c r="D10" s="243"/>
      <c r="E10" s="244">
        <v>7110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64960.03</v>
      </c>
      <c r="D11" s="244">
        <v>64960.03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370165.69</v>
      </c>
      <c r="D12" s="20">
        <f>'DOE25'!L205+'DOE25'!L223+'DOE25'!L241-F12-G12</f>
        <v>367615.69</v>
      </c>
      <c r="E12" s="243"/>
      <c r="F12" s="255">
        <f>'DOE25'!J205+'DOE25'!J223+'DOE25'!J241</f>
        <v>740</v>
      </c>
      <c r="G12" s="53">
        <f>'DOE25'!K205+'DOE25'!K223+'DOE25'!K241</f>
        <v>1810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444627.39</v>
      </c>
      <c r="D14" s="20">
        <f>'DOE25'!L207+'DOE25'!L225+'DOE25'!L243-F14-G14</f>
        <v>442898.71</v>
      </c>
      <c r="E14" s="243"/>
      <c r="F14" s="255">
        <f>'DOE25'!J207+'DOE25'!J225+'DOE25'!J243</f>
        <v>1728.68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480010.83</v>
      </c>
      <c r="D15" s="20">
        <f>'DOE25'!L208+'DOE25'!L226+'DOE25'!L244-F15-G15</f>
        <v>480010.83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174431.99</v>
      </c>
      <c r="D16" s="243"/>
      <c r="E16" s="20">
        <f>'DOE25'!L209+'DOE25'!L227+'DOE25'!L245-F16-G16</f>
        <v>113098.62999999999</v>
      </c>
      <c r="F16" s="255">
        <f>'DOE25'!J209+'DOE25'!J227+'DOE25'!J245</f>
        <v>61333.36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83250.409999999974</v>
      </c>
      <c r="D29" s="20">
        <f>'DOE25'!L358+'DOE25'!L359+'DOE25'!L360-'DOE25'!I367-F29-G29</f>
        <v>77687.479999999981</v>
      </c>
      <c r="E29" s="243"/>
      <c r="F29" s="255">
        <f>'DOE25'!J358+'DOE25'!J359+'DOE25'!J360</f>
        <v>4962.93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148414.62</v>
      </c>
      <c r="D31" s="20">
        <f>'DOE25'!L290+'DOE25'!L309+'DOE25'!L328+'DOE25'!L333+'DOE25'!L334+'DOE25'!L335-F31-G31</f>
        <v>139834.4</v>
      </c>
      <c r="E31" s="243"/>
      <c r="F31" s="255">
        <f>'DOE25'!J290+'DOE25'!J309+'DOE25'!J328+'DOE25'!J333+'DOE25'!J334+'DOE25'!J335</f>
        <v>5166.45</v>
      </c>
      <c r="G31" s="53">
        <f>'DOE25'!K290+'DOE25'!K309+'DOE25'!K328+'DOE25'!K333+'DOE25'!K334+'DOE25'!K335</f>
        <v>3413.77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7760178.790000001</v>
      </c>
      <c r="E33" s="246">
        <f>SUM(E5:E31)</f>
        <v>225315.82</v>
      </c>
      <c r="F33" s="246">
        <f>SUM(F5:F31)</f>
        <v>84947.349999999991</v>
      </c>
      <c r="G33" s="246">
        <f>SUM(G5:G31)</f>
        <v>14229.25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225315.82</v>
      </c>
      <c r="E35" s="249"/>
    </row>
    <row r="36" spans="2:8" ht="12" thickTop="1" x14ac:dyDescent="0.2">
      <c r="B36" t="s">
        <v>809</v>
      </c>
      <c r="D36" s="20">
        <f>D33</f>
        <v>7760178.790000001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32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543244.06999999995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41569.94</v>
      </c>
      <c r="D11" s="95">
        <f>'DOE25'!G12</f>
        <v>8593.74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9465.3700000000008</v>
      </c>
      <c r="D12" s="95">
        <f>'DOE25'!G13</f>
        <v>3693.44</v>
      </c>
      <c r="E12" s="95">
        <f>'DOE25'!H13</f>
        <v>42896.86</v>
      </c>
      <c r="F12" s="95">
        <f>'DOE25'!I13</f>
        <v>0</v>
      </c>
      <c r="G12" s="95">
        <f>'DOE25'!J13</f>
        <v>559947.57000000007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594279.38</v>
      </c>
      <c r="D18" s="41">
        <f>SUM(D8:D17)</f>
        <v>12287.18</v>
      </c>
      <c r="E18" s="41">
        <f>SUM(E8:E17)</f>
        <v>42896.86</v>
      </c>
      <c r="F18" s="41">
        <f>SUM(F8:F17)</f>
        <v>0</v>
      </c>
      <c r="G18" s="41">
        <f>SUM(G8:G17)</f>
        <v>559947.57000000007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8593.74</v>
      </c>
      <c r="D21" s="95">
        <f>'DOE25'!G22</f>
        <v>0</v>
      </c>
      <c r="E21" s="95">
        <f>'DOE25'!H22</f>
        <v>41569.94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33007.26</v>
      </c>
      <c r="D23" s="95">
        <f>'DOE25'!G24</f>
        <v>425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7895.67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2365.98</v>
      </c>
      <c r="E29" s="95">
        <f>'DOE25'!H30</f>
        <v>1326.92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49496.67</v>
      </c>
      <c r="D31" s="41">
        <f>SUM(D21:D30)</f>
        <v>2790.98</v>
      </c>
      <c r="E31" s="41">
        <f>SUM(E21:E30)</f>
        <v>42896.86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9496.2000000000007</v>
      </c>
      <c r="E47" s="95">
        <f>'DOE25'!H48</f>
        <v>0</v>
      </c>
      <c r="F47" s="95">
        <f>'DOE25'!I48</f>
        <v>0</v>
      </c>
      <c r="G47" s="95">
        <f>'DOE25'!J48</f>
        <v>559947.57000000007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70997.919999999998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473784.79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544782.71</v>
      </c>
      <c r="D50" s="41">
        <f>SUM(D34:D49)</f>
        <v>9496.2000000000007</v>
      </c>
      <c r="E50" s="41">
        <f>SUM(E34:E49)</f>
        <v>0</v>
      </c>
      <c r="F50" s="41">
        <f>SUM(F34:F49)</f>
        <v>0</v>
      </c>
      <c r="G50" s="41">
        <f>SUM(G34:G49)</f>
        <v>559947.57000000007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594279.38</v>
      </c>
      <c r="D51" s="41">
        <f>D50+D31</f>
        <v>12287.18</v>
      </c>
      <c r="E51" s="41">
        <f>E50+E31</f>
        <v>42896.86</v>
      </c>
      <c r="F51" s="41">
        <f>F50+F31</f>
        <v>0</v>
      </c>
      <c r="G51" s="41">
        <f>G50+G31</f>
        <v>559947.57000000007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5839658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7925.5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155.19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3643.05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83205.75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57863.61</v>
      </c>
      <c r="D61" s="95">
        <f>SUM('DOE25'!G98:G110)</f>
        <v>0</v>
      </c>
      <c r="E61" s="95">
        <f>SUM('DOE25'!H98:H110)</f>
        <v>422.56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65944.3</v>
      </c>
      <c r="D62" s="130">
        <f>SUM(D57:D61)</f>
        <v>83205.75</v>
      </c>
      <c r="E62" s="130">
        <f>SUM(E57:E61)</f>
        <v>422.56</v>
      </c>
      <c r="F62" s="130">
        <f>SUM(F57:F61)</f>
        <v>0</v>
      </c>
      <c r="G62" s="130">
        <f>SUM(G57:G61)</f>
        <v>3643.05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5905602.2999999998</v>
      </c>
      <c r="D63" s="22">
        <f>D56+D62</f>
        <v>83205.75</v>
      </c>
      <c r="E63" s="22">
        <f>E56+E62</f>
        <v>422.56</v>
      </c>
      <c r="F63" s="22">
        <f>F56+F62</f>
        <v>0</v>
      </c>
      <c r="G63" s="22">
        <f>G56+G62</f>
        <v>3643.05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973131.89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943265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16000.48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1932397.37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81005.960000000006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1963.69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81005.960000000006</v>
      </c>
      <c r="D78" s="130">
        <f>SUM(D72:D77)</f>
        <v>1963.69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2013403.33</v>
      </c>
      <c r="D81" s="130">
        <f>SUM(D79:D80)+D78+D70</f>
        <v>1963.69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21999.64</v>
      </c>
      <c r="D88" s="95">
        <f>SUM('DOE25'!G153:G161)</f>
        <v>51214.32</v>
      </c>
      <c r="E88" s="95">
        <f>SUM('DOE25'!H153:H161)</f>
        <v>142780.60999999999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5211.45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21999.64</v>
      </c>
      <c r="D91" s="131">
        <f>SUM(D85:D90)</f>
        <v>51214.32</v>
      </c>
      <c r="E91" s="131">
        <f>SUM(E85:E90)</f>
        <v>147992.06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7941005.2699999996</v>
      </c>
      <c r="D104" s="86">
        <f>D63+D81+D91+D103</f>
        <v>136383.76</v>
      </c>
      <c r="E104" s="86">
        <f>E63+E81+E91+E103</f>
        <v>148414.62</v>
      </c>
      <c r="F104" s="86">
        <f>F63+F81+F91+F103</f>
        <v>0</v>
      </c>
      <c r="G104" s="86">
        <f>G63+G81+G103</f>
        <v>3643.05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3854062.34</v>
      </c>
      <c r="D109" s="24" t="s">
        <v>286</v>
      </c>
      <c r="E109" s="95">
        <f>('DOE25'!L276)+('DOE25'!L295)+('DOE25'!L314)</f>
        <v>29776.82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1691354.73</v>
      </c>
      <c r="D110" s="24" t="s">
        <v>286</v>
      </c>
      <c r="E110" s="95">
        <f>('DOE25'!L277)+('DOE25'!L296)+('DOE25'!L315)</f>
        <v>31941.81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48399.93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5593817</v>
      </c>
      <c r="D115" s="86">
        <f>SUM(D109:D114)</f>
        <v>0</v>
      </c>
      <c r="E115" s="86">
        <f>SUM(E109:E114)</f>
        <v>61718.630000000005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466781.3</v>
      </c>
      <c r="D118" s="24" t="s">
        <v>286</v>
      </c>
      <c r="E118" s="95">
        <f>+('DOE25'!L281)+('DOE25'!L300)+('DOE25'!L319)</f>
        <v>38977.65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99870.04</v>
      </c>
      <c r="D119" s="24" t="s">
        <v>286</v>
      </c>
      <c r="E119" s="95">
        <f>+('DOE25'!L282)+('DOE25'!L301)+('DOE25'!L320)</f>
        <v>38937.119999999995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216191.94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370165.69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3413.77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444627.39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480010.83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174431.99</v>
      </c>
      <c r="D125" s="24" t="s">
        <v>286</v>
      </c>
      <c r="E125" s="95">
        <f>+('DOE25'!L288)+('DOE25'!L307)+('DOE25'!L326)</f>
        <v>5367.45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146682.47999999998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2252079.1799999997</v>
      </c>
      <c r="D128" s="86">
        <f>SUM(D118:D127)</f>
        <v>146682.47999999998</v>
      </c>
      <c r="E128" s="86">
        <f>SUM(E118:E127)</f>
        <v>86695.989999999991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1854.31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1788.74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-3643.05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14896.04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14896.04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7860792.2199999997</v>
      </c>
      <c r="D145" s="86">
        <f>(D115+D128+D144)</f>
        <v>146682.47999999998</v>
      </c>
      <c r="E145" s="86">
        <f>(E115+E128+E144)</f>
        <v>148414.62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Candia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16876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16876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3883839</v>
      </c>
      <c r="D10" s="182">
        <f>ROUND((C10/$C$28)*100,1)</f>
        <v>48.1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1723297</v>
      </c>
      <c r="D11" s="182">
        <f>ROUND((C11/$C$28)*100,1)</f>
        <v>21.3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48400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505759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138807</v>
      </c>
      <c r="D16" s="182">
        <f t="shared" si="0"/>
        <v>1.7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395991</v>
      </c>
      <c r="D17" s="182">
        <f t="shared" si="0"/>
        <v>4.9000000000000004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370166</v>
      </c>
      <c r="D18" s="182">
        <f t="shared" si="0"/>
        <v>4.5999999999999996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3414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444627</v>
      </c>
      <c r="D20" s="182">
        <f t="shared" si="0"/>
        <v>5.5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480011</v>
      </c>
      <c r="D21" s="182">
        <f t="shared" si="0"/>
        <v>5.9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14896.04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63476.25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8072683.29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8072683.29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5839658</v>
      </c>
      <c r="D35" s="182">
        <f t="shared" ref="D35:D40" si="1">ROUND((C35/$C$41)*100,1)</f>
        <v>71.7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70009.909999999218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1916397</v>
      </c>
      <c r="D37" s="182">
        <f t="shared" si="1"/>
        <v>23.5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98970</v>
      </c>
      <c r="D38" s="182">
        <f t="shared" si="1"/>
        <v>1.2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221206</v>
      </c>
      <c r="D39" s="182">
        <f t="shared" si="1"/>
        <v>2.7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8146240.9099999992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8" sqref="C48:M4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Candia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2018-09-17T18:52:44Z</cp:lastPrinted>
  <dcterms:created xsi:type="dcterms:W3CDTF">1997-12-04T19:04:30Z</dcterms:created>
  <dcterms:modified xsi:type="dcterms:W3CDTF">2018-11-13T19:28:50Z</dcterms:modified>
</cp:coreProperties>
</file>